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sus.chavarria.RCOCARRETERAS\Desktop\Personales\Tec de Monterrey\2024\FEBRERO\Biliografía\"/>
    </mc:Choice>
  </mc:AlternateContent>
  <xr:revisionPtr revIDLastSave="0" documentId="13_ncr:1_{89E2712D-E58B-4630-806E-B16978859696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PBV VEHÍCULOS" sheetId="9" r:id="rId1"/>
    <sheet name="REMOLQUES" sheetId="10" r:id="rId2"/>
    <sheet name="CARGA UTIL VEHÍCULOS" sheetId="5" r:id="rId3"/>
    <sheet name="UNIDAD DE CARGA" sheetId="6" r:id="rId4"/>
    <sheet name="CUBICAJE POR VEHÍCULO" sheetId="11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9" l="1"/>
  <c r="J25" i="9"/>
  <c r="J24" i="9"/>
  <c r="J23" i="9"/>
  <c r="J22" i="9"/>
  <c r="J21" i="9"/>
  <c r="J20" i="9"/>
  <c r="J19" i="9"/>
  <c r="J26" i="9"/>
  <c r="J18" i="9"/>
  <c r="J17" i="9"/>
  <c r="L5" i="11"/>
  <c r="J5" i="11"/>
  <c r="C5" i="11"/>
  <c r="G12" i="10"/>
  <c r="G13" i="10"/>
  <c r="F5" i="11" s="1"/>
  <c r="G8" i="10"/>
  <c r="L7" i="6"/>
  <c r="P6" i="11"/>
  <c r="P5" i="11"/>
  <c r="I6" i="11"/>
  <c r="I5" i="11"/>
  <c r="H6" i="11"/>
  <c r="J6" i="11" s="1"/>
  <c r="H5" i="11"/>
  <c r="G6" i="11"/>
  <c r="L6" i="11" s="1"/>
  <c r="G5" i="11"/>
  <c r="G7" i="10"/>
  <c r="G11" i="10"/>
  <c r="G10" i="10"/>
  <c r="G9" i="10"/>
  <c r="G6" i="10"/>
  <c r="G5" i="10"/>
  <c r="I7" i="6"/>
  <c r="M7" i="6" s="1"/>
  <c r="Q5" i="11" s="1"/>
  <c r="F7" i="6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G7" i="5" s="1"/>
  <c r="E27" i="9"/>
  <c r="E26" i="9"/>
  <c r="E25" i="9"/>
  <c r="E24" i="9"/>
  <c r="E23" i="9"/>
  <c r="E22" i="9"/>
  <c r="E21" i="9"/>
  <c r="E20" i="9"/>
  <c r="E19" i="9"/>
  <c r="E18" i="9"/>
  <c r="E17" i="9"/>
  <c r="S6" i="11" l="1"/>
  <c r="P7" i="11"/>
  <c r="F6" i="11"/>
  <c r="F7" i="11" s="1"/>
  <c r="N5" i="11"/>
  <c r="N6" i="11"/>
  <c r="N7" i="6"/>
  <c r="R5" i="11" s="1"/>
  <c r="T6" i="11" s="1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T5" i="11" l="1"/>
  <c r="P10" i="11" s="1"/>
  <c r="S5" i="11"/>
  <c r="D5" i="11"/>
  <c r="P8" i="11" l="1"/>
</calcChain>
</file>

<file path=xl/sharedStrings.xml><?xml version="1.0" encoding="utf-8"?>
<sst xmlns="http://schemas.openxmlformats.org/spreadsheetml/2006/main" count="164" uniqueCount="99">
  <si>
    <t>Articulado</t>
  </si>
  <si>
    <t>Clasificación</t>
  </si>
  <si>
    <t>PBV</t>
  </si>
  <si>
    <t>C2</t>
  </si>
  <si>
    <t>Sencillo</t>
  </si>
  <si>
    <t>T2-S1</t>
  </si>
  <si>
    <t>Pesos (ton)</t>
  </si>
  <si>
    <t>TIPO</t>
  </si>
  <si>
    <t>ID</t>
  </si>
  <si>
    <t>T2-S2</t>
  </si>
  <si>
    <t>T3-S2</t>
  </si>
  <si>
    <t>T3-S3</t>
  </si>
  <si>
    <t>T2-S3</t>
  </si>
  <si>
    <t>T3-S1</t>
  </si>
  <si>
    <t>PBV MÁXIMO AUTORIZADO POR TIPO DE VEHÍCULO Y CAMINO</t>
  </si>
  <si>
    <t>EJES</t>
  </si>
  <si>
    <t>LLANTAS</t>
  </si>
  <si>
    <t>A</t>
  </si>
  <si>
    <t>B</t>
  </si>
  <si>
    <t>C</t>
  </si>
  <si>
    <t>D</t>
  </si>
  <si>
    <t>C2-R2</t>
  </si>
  <si>
    <t>C3-R2</t>
  </si>
  <si>
    <t>C3-R3</t>
  </si>
  <si>
    <t>C2-R3</t>
  </si>
  <si>
    <t>T2-S1-R2</t>
  </si>
  <si>
    <t>T2-S1-R3</t>
  </si>
  <si>
    <t>T2-S2-R2</t>
  </si>
  <si>
    <t>T3-S1-R2</t>
  </si>
  <si>
    <t>T3-S1-R3</t>
  </si>
  <si>
    <t>T3-S2-R2</t>
  </si>
  <si>
    <t>T3-S2-R4</t>
  </si>
  <si>
    <t>T3-S2-R3</t>
  </si>
  <si>
    <t>T3-S3-S2</t>
  </si>
  <si>
    <t>T2-S2-S2</t>
  </si>
  <si>
    <t>T3-S2-S2</t>
  </si>
  <si>
    <t>Tipo de vehículo</t>
  </si>
  <si>
    <t>CAMINO DE MENOR CLASIFICACIÓN</t>
  </si>
  <si>
    <t>Camión Remolque</t>
  </si>
  <si>
    <t>Doble articulado</t>
  </si>
  <si>
    <t>C3-10</t>
  </si>
  <si>
    <t>C3-8</t>
  </si>
  <si>
    <t>VEHICULO SELECCIONADO</t>
  </si>
  <si>
    <t>TARA (EDITAR)</t>
  </si>
  <si>
    <t>VOLUMEN</t>
  </si>
  <si>
    <t>ALTO</t>
  </si>
  <si>
    <t>ANCHO</t>
  </si>
  <si>
    <t>LARGO</t>
  </si>
  <si>
    <t>CAJA DE 40 PIES</t>
  </si>
  <si>
    <t>CAJA DE 42 PIES</t>
  </si>
  <si>
    <t>CAJA DE 48 PIES</t>
  </si>
  <si>
    <t>CAJA DE 53 PIES</t>
  </si>
  <si>
    <t>CONTENEDOR DE 40 PIES</t>
  </si>
  <si>
    <t>CONTENEDOR DE 20 PIES</t>
  </si>
  <si>
    <t>VOLUMEN POR TIPO DE REMOLQUE</t>
  </si>
  <si>
    <t>LARGO*</t>
  </si>
  <si>
    <t>ALTO*</t>
  </si>
  <si>
    <t>ANCHO*</t>
  </si>
  <si>
    <t>DIMENSIONES (METROS)</t>
  </si>
  <si>
    <t>M3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</si>
  <si>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</si>
  <si>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C-40</t>
  </si>
  <si>
    <t>C-42</t>
  </si>
  <si>
    <t>C-48</t>
  </si>
  <si>
    <t>C-53</t>
  </si>
  <si>
    <t>CT-20</t>
  </si>
  <si>
    <t>CT-40</t>
  </si>
  <si>
    <t>* Se deberá verificar con el transportista</t>
  </si>
  <si>
    <t>UNIDADES DE CARGA</t>
  </si>
  <si>
    <t>PESO</t>
  </si>
  <si>
    <t>KG</t>
  </si>
  <si>
    <t>CAMAS</t>
  </si>
  <si>
    <t>CAJAS POR CAMA</t>
  </si>
  <si>
    <t>Carga Útil*</t>
  </si>
  <si>
    <t>* Si el valor de la carga útil es un número negativo, no se permite la circulación de ese vehículo por esa carretera.</t>
  </si>
  <si>
    <t>C-2</t>
  </si>
  <si>
    <t>C-3</t>
  </si>
  <si>
    <t>CAMION UNITARIO 2 EJES</t>
  </si>
  <si>
    <t>CAMION UNITARIO 3 EJES</t>
  </si>
  <si>
    <t>TIPO DE REMOLQUE</t>
  </si>
  <si>
    <t>VOLUMEN DISPONIBLE M3</t>
  </si>
  <si>
    <t>TOTAL</t>
  </si>
  <si>
    <t>CAJAS POR UNIDAD</t>
  </si>
  <si>
    <t>PESO (TON)</t>
  </si>
  <si>
    <t>VOLUMEN (M3)</t>
  </si>
  <si>
    <t>PAQUETE O CAJA</t>
  </si>
  <si>
    <t>DIMENSIONES DEL PAQUETE</t>
  </si>
  <si>
    <t>CT-10</t>
  </si>
  <si>
    <t>CONTENEDOR DE 10 PIES</t>
  </si>
  <si>
    <t>CARGA TOTAL POR VEHÍCULO</t>
  </si>
  <si>
    <t>UNIDADES DE CARGA POR VEHICULO</t>
  </si>
  <si>
    <t>TIPO DE CAMINO</t>
  </si>
  <si>
    <t>c-2</t>
  </si>
  <si>
    <t>DIMENSIONES INTERIORES DEL REMOLQUE</t>
  </si>
  <si>
    <t>UNIDADES DE CARGA POR REMOLQUE</t>
  </si>
  <si>
    <t>CARGA ÚTIL (TON)</t>
  </si>
  <si>
    <t>INCREMENTO PBV NUMERAL 6.1.2.2</t>
  </si>
  <si>
    <t>T-S-S;   T-S-R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</si>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</sst>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1" fontId="0" fillId="0" borderId="0" xfId="0" applyNumberFormat="1"/>
    <xf numFmtId="0" fontId="2" fillId="0" borderId="0" xfId="0" applyFont="1"/>
    <xf numFmtId="1" fontId="2" fillId="0" borderId="0" xfId="0" applyNumberFormat="1" applyFont="1"/>
    <xf numFmtId="2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164" fontId="0" fillId="0" borderId="9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10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2" xfId="0" applyBorder="1"/>
    <xf numFmtId="0" fontId="2" fillId="0" borderId="11" xfId="0" applyFont="1" applyBorder="1"/>
    <xf numFmtId="2" fontId="7" fillId="0" borderId="1" xfId="0" applyNumberFormat="1" applyFont="1" applyBorder="1"/>
    <xf numFmtId="0" fontId="6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2" fontId="7" fillId="0" borderId="9" xfId="0" applyNumberFormat="1" applyFont="1" applyBorder="1"/>
    <xf numFmtId="2" fontId="4" fillId="0" borderId="9" xfId="0" applyNumberFormat="1" applyFont="1" applyBorder="1"/>
    <xf numFmtId="0" fontId="4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37" xfId="0" applyBorder="1"/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164" fontId="0" fillId="0" borderId="47" xfId="0" applyNumberFormat="1" applyBorder="1"/>
    <xf numFmtId="164" fontId="0" fillId="0" borderId="29" xfId="0" applyNumberFormat="1" applyBorder="1"/>
    <xf numFmtId="0" fontId="0" fillId="0" borderId="48" xfId="0" applyBorder="1"/>
    <xf numFmtId="0" fontId="0" fillId="0" borderId="49" xfId="0" applyBorder="1"/>
    <xf numFmtId="0" fontId="1" fillId="0" borderId="3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2" fontId="3" fillId="0" borderId="0" xfId="0" applyNumberFormat="1" applyFont="1"/>
    <xf numFmtId="1" fontId="3" fillId="0" borderId="0" xfId="0" applyNumberFormat="1" applyFont="1"/>
    <xf numFmtId="164" fontId="3" fillId="0" borderId="0" xfId="0" applyNumberFormat="1" applyFont="1"/>
    <xf numFmtId="0" fontId="0" fillId="0" borderId="31" xfId="0" applyBorder="1"/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0" fontId="2" fillId="0" borderId="37" xfId="0" applyFont="1" applyBorder="1"/>
    <xf numFmtId="0" fontId="6" fillId="0" borderId="0" xfId="0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2" fontId="7" fillId="0" borderId="0" xfId="0" applyNumberFormat="1" applyFont="1"/>
    <xf numFmtId="0" fontId="13" fillId="0" borderId="7" xfId="0" applyFont="1" applyBorder="1" applyAlignment="1">
      <alignment horizontal="center"/>
    </xf>
    <xf numFmtId="0" fontId="0" fillId="0" borderId="26" xfId="0" applyBorder="1"/>
    <xf numFmtId="2" fontId="4" fillId="0" borderId="44" xfId="0" applyNumberFormat="1" applyFont="1" applyBorder="1"/>
    <xf numFmtId="2" fontId="0" fillId="0" borderId="1" xfId="0" applyNumberFormat="1" applyBorder="1"/>
    <xf numFmtId="0" fontId="6" fillId="0" borderId="53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/>
    </xf>
    <xf numFmtId="2" fontId="11" fillId="0" borderId="58" xfId="0" applyNumberFormat="1" applyFont="1" applyBorder="1" applyAlignment="1">
      <alignment horizontal="center" vertical="center"/>
    </xf>
    <xf numFmtId="2" fontId="4" fillId="0" borderId="58" xfId="0" applyNumberFormat="1" applyFont="1" applyBorder="1"/>
    <xf numFmtId="2" fontId="4" fillId="0" borderId="31" xfId="0" applyNumberFormat="1" applyFont="1" applyBorder="1" applyAlignment="1">
      <alignment horizontal="center" vertical="center"/>
    </xf>
    <xf numFmtId="2" fontId="4" fillId="0" borderId="50" xfId="0" applyNumberFormat="1" applyFont="1" applyBorder="1" applyAlignment="1">
      <alignment horizontal="center" vertical="center"/>
    </xf>
    <xf numFmtId="2" fontId="4" fillId="0" borderId="53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45" xfId="0" applyNumberFormat="1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2" fontId="0" fillId="0" borderId="60" xfId="0" applyNumberFormat="1" applyBorder="1" applyAlignment="1">
      <alignment horizontal="center" vertical="center"/>
    </xf>
    <xf numFmtId="2" fontId="0" fillId="0" borderId="61" xfId="0" applyNumberForma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" fillId="0" borderId="26" xfId="0" applyFont="1" applyBorder="1"/>
    <xf numFmtId="0" fontId="5" fillId="0" borderId="59" xfId="0" applyFont="1" applyBorder="1" applyAlignment="1">
      <alignment horizontal="center" vertical="center"/>
    </xf>
    <xf numFmtId="2" fontId="0" fillId="0" borderId="9" xfId="0" applyNumberFormat="1" applyBorder="1"/>
    <xf numFmtId="164" fontId="0" fillId="0" borderId="0" xfId="0" applyNumberFormat="1"/>
    <xf numFmtId="0" fontId="5" fillId="0" borderId="5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2" fontId="4" fillId="0" borderId="64" xfId="0" applyNumberFormat="1" applyFon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31" xfId="0" applyFont="1" applyBorder="1"/>
    <xf numFmtId="0" fontId="0" fillId="0" borderId="63" xfId="0" applyBorder="1"/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164" fontId="0" fillId="0" borderId="33" xfId="0" applyNumberFormat="1" applyBorder="1"/>
    <xf numFmtId="0" fontId="6" fillId="0" borderId="33" xfId="0" applyFont="1" applyBorder="1"/>
    <xf numFmtId="0" fontId="0" fillId="0" borderId="59" xfId="0" applyBorder="1" applyAlignment="1">
      <alignment horizontal="center" vertical="center"/>
    </xf>
    <xf numFmtId="164" fontId="5" fillId="0" borderId="53" xfId="0" applyNumberFormat="1" applyFont="1" applyBorder="1" applyAlignment="1">
      <alignment vertical="center"/>
    </xf>
    <xf numFmtId="2" fontId="5" fillId="0" borderId="54" xfId="0" applyNumberFormat="1" applyFont="1" applyBorder="1" applyAlignment="1">
      <alignment vertical="center"/>
    </xf>
    <xf numFmtId="0" fontId="5" fillId="0" borderId="64" xfId="0" applyFont="1" applyBorder="1" applyAlignment="1">
      <alignment horizontal="center" vertical="center"/>
    </xf>
    <xf numFmtId="0" fontId="6" fillId="0" borderId="0" xfId="0" applyFont="1"/>
    <xf numFmtId="2" fontId="13" fillId="2" borderId="40" xfId="0" applyNumberFormat="1" applyFont="1" applyFill="1" applyBorder="1"/>
    <xf numFmtId="0" fontId="13" fillId="2" borderId="62" xfId="0" applyFont="1" applyFill="1" applyBorder="1" applyAlignment="1">
      <alignment vertical="center"/>
    </xf>
    <xf numFmtId="164" fontId="13" fillId="3" borderId="60" xfId="0" applyNumberFormat="1" applyFont="1" applyFill="1" applyBorder="1" applyAlignment="1">
      <alignment vertical="center"/>
    </xf>
    <xf numFmtId="2" fontId="7" fillId="3" borderId="44" xfId="0" applyNumberFormat="1" applyFont="1" applyFill="1" applyBorder="1"/>
    <xf numFmtId="0" fontId="5" fillId="0" borderId="35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0" borderId="1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2" fillId="0" borderId="5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wrapText="1"/>
    </xf>
    <xf numFmtId="0" fontId="6" fillId="0" borderId="44" xfId="0" applyFont="1" applyBorder="1" applyAlignment="1">
      <alignment horizontal="center" wrapText="1"/>
    </xf>
    <xf numFmtId="0" fontId="6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165" fontId="0" fillId="0" borderId="42" xfId="0" applyNumberFormat="1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164" fontId="13" fillId="0" borderId="71" xfId="0" applyNumberFormat="1" applyFont="1" applyBorder="1"/>
    <xf numFmtId="164" fontId="13" fillId="0" borderId="9" xfId="0" applyNumberFormat="1" applyFont="1" applyBorder="1"/>
    <xf numFmtId="164" fontId="13" fillId="0" borderId="8" xfId="0" applyNumberFormat="1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/>
    </xf>
    <xf numFmtId="0" fontId="5" fillId="0" borderId="7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00FF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6</xdr:col>
      <xdr:colOff>666163</xdr:colOff>
      <xdr:row>18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CA8CC1-7E7B-45E7-87E6-632C94B2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81175"/>
          <a:ext cx="4495213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9</xdr:row>
      <xdr:rowOff>114300</xdr:rowOff>
    </xdr:from>
    <xdr:to>
      <xdr:col>10</xdr:col>
      <xdr:colOff>390525</xdr:colOff>
      <xdr:row>17</xdr:row>
      <xdr:rowOff>66675</xdr:rowOff>
    </xdr:to>
    <xdr:pic>
      <xdr:nvPicPr>
        <xdr:cNvPr id="3" name="Imagen 2" descr="Guía para el correcto embalado de mercancía Requerimientos necesarios para  el óptimo traslado de su carga">
          <a:extLst>
            <a:ext uri="{FF2B5EF4-FFF2-40B4-BE49-F238E27FC236}">
              <a16:creationId xmlns:a16="http://schemas.microsoft.com/office/drawing/2014/main" id="{62509CEE-D037-460D-B806-5B5A96127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2085975"/>
          <a:ext cx="29241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714376</xdr:colOff>
      <xdr:row>7</xdr:row>
      <xdr:rowOff>219075</xdr:rowOff>
    </xdr:from>
    <xdr:to>
      <xdr:col>13</xdr:col>
      <xdr:colOff>478922</xdr:colOff>
      <xdr:row>22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E37595-53E1-12CD-4115-72BFCC90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762125"/>
          <a:ext cx="1517146" cy="284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5131-3E86-405D-8DF6-BE2829ED4249}">
  <dimension ref="A1:J28"/>
  <sheetViews>
    <sheetView workbookViewId="0">
      <selection activeCell="L8" sqref="L8"/>
    </sheetView>
  </sheetViews>
  <sheetFormatPr baseColWidth="10" defaultRowHeight="15" x14ac:dyDescent="0.25"/>
  <cols>
    <col min="10" max="10" width="18.85546875" customWidth="1"/>
  </cols>
  <sheetData>
    <row r="1" spans="1:10" ht="15.75" thickBot="1" x14ac:dyDescent="0.3"/>
    <row r="2" spans="1:10" ht="30.75" thickBot="1" x14ac:dyDescent="0.3">
      <c r="A2" s="10"/>
      <c r="B2" s="195" t="s">
        <v>14</v>
      </c>
      <c r="C2" s="196"/>
      <c r="D2" s="196"/>
      <c r="E2" s="196"/>
      <c r="F2" s="196"/>
      <c r="G2" s="196"/>
      <c r="H2" s="197"/>
      <c r="J2" s="205" t="s">
        <v>96</v>
      </c>
    </row>
    <row r="3" spans="1:10" ht="15.75" thickBot="1" x14ac:dyDescent="0.3">
      <c r="A3" s="10"/>
      <c r="B3" s="199" t="s">
        <v>7</v>
      </c>
      <c r="C3" s="201" t="s">
        <v>15</v>
      </c>
      <c r="D3" s="37" t="s">
        <v>16</v>
      </c>
      <c r="E3" s="200" t="s">
        <v>17</v>
      </c>
      <c r="F3" s="37" t="s">
        <v>18</v>
      </c>
      <c r="G3" s="200" t="s">
        <v>19</v>
      </c>
      <c r="H3" s="198" t="s">
        <v>20</v>
      </c>
      <c r="J3" s="206" t="s">
        <v>97</v>
      </c>
    </row>
    <row r="4" spans="1:10" ht="15.75" thickTop="1" x14ac:dyDescent="0.25">
      <c r="B4" s="11" t="s">
        <v>3</v>
      </c>
      <c r="C4" s="9">
        <v>2</v>
      </c>
      <c r="D4" s="9">
        <v>6</v>
      </c>
      <c r="E4" s="15">
        <v>19</v>
      </c>
      <c r="F4" s="15">
        <v>16.5</v>
      </c>
      <c r="G4" s="15">
        <v>14.5</v>
      </c>
      <c r="H4" s="15">
        <v>13</v>
      </c>
      <c r="J4" s="207" t="s">
        <v>98</v>
      </c>
    </row>
    <row r="5" spans="1:10" x14ac:dyDescent="0.25">
      <c r="B5" s="7" t="s">
        <v>41</v>
      </c>
      <c r="C5" s="6">
        <v>3</v>
      </c>
      <c r="D5" s="6">
        <v>8</v>
      </c>
      <c r="E5" s="16">
        <v>24</v>
      </c>
      <c r="F5" s="16">
        <v>19</v>
      </c>
      <c r="G5" s="16">
        <v>17</v>
      </c>
      <c r="H5" s="16">
        <v>16</v>
      </c>
      <c r="J5" s="208"/>
    </row>
    <row r="6" spans="1:10" x14ac:dyDescent="0.25">
      <c r="B6" s="7" t="s">
        <v>40</v>
      </c>
      <c r="C6" s="6">
        <v>3</v>
      </c>
      <c r="D6" s="6">
        <v>10</v>
      </c>
      <c r="E6" s="16">
        <v>27</v>
      </c>
      <c r="F6" s="16">
        <v>23</v>
      </c>
      <c r="G6" s="16">
        <v>20</v>
      </c>
      <c r="H6" s="16">
        <v>18.5</v>
      </c>
      <c r="J6" s="208"/>
    </row>
    <row r="7" spans="1:10" x14ac:dyDescent="0.25">
      <c r="B7" s="7" t="s">
        <v>21</v>
      </c>
      <c r="C7" s="6">
        <v>4</v>
      </c>
      <c r="D7" s="6">
        <v>14</v>
      </c>
      <c r="E7" s="16">
        <v>37.5</v>
      </c>
      <c r="F7" s="16">
        <v>35.5</v>
      </c>
      <c r="G7" s="18">
        <v>0</v>
      </c>
      <c r="H7" s="18">
        <v>0</v>
      </c>
      <c r="J7" s="208"/>
    </row>
    <row r="8" spans="1:10" x14ac:dyDescent="0.25">
      <c r="B8" s="7" t="s">
        <v>22</v>
      </c>
      <c r="C8" s="6">
        <v>5</v>
      </c>
      <c r="D8" s="6">
        <v>18</v>
      </c>
      <c r="E8" s="16">
        <v>44.5</v>
      </c>
      <c r="F8" s="16">
        <v>42</v>
      </c>
      <c r="G8" s="18">
        <v>0</v>
      </c>
      <c r="H8" s="18">
        <v>0</v>
      </c>
      <c r="J8" s="208"/>
    </row>
    <row r="9" spans="1:10" x14ac:dyDescent="0.25">
      <c r="B9" s="7" t="s">
        <v>23</v>
      </c>
      <c r="C9" s="6">
        <v>6</v>
      </c>
      <c r="D9" s="6">
        <v>22</v>
      </c>
      <c r="E9" s="16">
        <v>51.1</v>
      </c>
      <c r="F9" s="16">
        <v>47.5</v>
      </c>
      <c r="G9" s="18">
        <v>0</v>
      </c>
      <c r="H9" s="18">
        <v>0</v>
      </c>
      <c r="J9" s="208"/>
    </row>
    <row r="10" spans="1:10" x14ac:dyDescent="0.25">
      <c r="B10" s="7" t="s">
        <v>24</v>
      </c>
      <c r="C10" s="6">
        <v>5</v>
      </c>
      <c r="D10" s="6">
        <v>18</v>
      </c>
      <c r="E10" s="16">
        <v>44.5</v>
      </c>
      <c r="F10" s="16">
        <v>41</v>
      </c>
      <c r="G10" s="18">
        <v>0</v>
      </c>
      <c r="H10" s="18">
        <v>0</v>
      </c>
      <c r="J10" s="208"/>
    </row>
    <row r="11" spans="1:10" x14ac:dyDescent="0.25">
      <c r="B11" s="7" t="s">
        <v>5</v>
      </c>
      <c r="C11" s="6">
        <v>3</v>
      </c>
      <c r="D11" s="6">
        <v>10</v>
      </c>
      <c r="E11" s="16">
        <v>30</v>
      </c>
      <c r="F11" s="16">
        <v>26</v>
      </c>
      <c r="G11" s="16">
        <v>22.5</v>
      </c>
      <c r="H11" s="18">
        <v>0</v>
      </c>
      <c r="J11" s="208"/>
    </row>
    <row r="12" spans="1:10" x14ac:dyDescent="0.25">
      <c r="B12" s="7" t="s">
        <v>9</v>
      </c>
      <c r="C12" s="6">
        <v>4</v>
      </c>
      <c r="D12" s="6">
        <v>14</v>
      </c>
      <c r="E12" s="16">
        <v>38</v>
      </c>
      <c r="F12" s="16">
        <v>31.5</v>
      </c>
      <c r="G12" s="16">
        <v>28</v>
      </c>
      <c r="H12" s="18">
        <v>0</v>
      </c>
      <c r="J12" s="208"/>
    </row>
    <row r="13" spans="1:10" x14ac:dyDescent="0.25">
      <c r="B13" s="7" t="s">
        <v>10</v>
      </c>
      <c r="C13" s="6">
        <v>5</v>
      </c>
      <c r="D13" s="6">
        <v>18</v>
      </c>
      <c r="E13" s="16">
        <v>46.5</v>
      </c>
      <c r="F13" s="16">
        <v>38</v>
      </c>
      <c r="G13" s="16">
        <v>33.5</v>
      </c>
      <c r="H13" s="18">
        <v>0</v>
      </c>
      <c r="J13" s="208"/>
    </row>
    <row r="14" spans="1:10" x14ac:dyDescent="0.25">
      <c r="B14" s="7" t="s">
        <v>11</v>
      </c>
      <c r="C14" s="6">
        <v>6</v>
      </c>
      <c r="D14" s="6">
        <v>22</v>
      </c>
      <c r="E14" s="16">
        <v>54</v>
      </c>
      <c r="F14" s="16">
        <v>45.5</v>
      </c>
      <c r="G14" s="16">
        <v>40</v>
      </c>
      <c r="H14" s="18">
        <v>0</v>
      </c>
      <c r="J14" s="208"/>
    </row>
    <row r="15" spans="1:10" x14ac:dyDescent="0.25">
      <c r="B15" s="7" t="s">
        <v>12</v>
      </c>
      <c r="C15" s="6">
        <v>5</v>
      </c>
      <c r="D15" s="6">
        <v>18</v>
      </c>
      <c r="E15" s="16">
        <v>45.5</v>
      </c>
      <c r="F15" s="16">
        <v>39</v>
      </c>
      <c r="G15" s="16">
        <v>34.5</v>
      </c>
      <c r="H15" s="18">
        <v>0</v>
      </c>
      <c r="J15" s="208"/>
    </row>
    <row r="16" spans="1:10" x14ac:dyDescent="0.25">
      <c r="B16" s="7" t="s">
        <v>13</v>
      </c>
      <c r="C16" s="6">
        <v>4</v>
      </c>
      <c r="D16" s="6">
        <v>14</v>
      </c>
      <c r="E16" s="16">
        <v>38.5</v>
      </c>
      <c r="F16" s="16">
        <v>32.5</v>
      </c>
      <c r="G16" s="16">
        <v>28</v>
      </c>
      <c r="H16" s="18">
        <v>0</v>
      </c>
      <c r="J16" s="209"/>
    </row>
    <row r="17" spans="1:10" x14ac:dyDescent="0.25">
      <c r="B17" s="7" t="s">
        <v>25</v>
      </c>
      <c r="C17" s="12">
        <v>5</v>
      </c>
      <c r="D17" s="6">
        <v>18</v>
      </c>
      <c r="E17" s="16">
        <f>47.5+4.5</f>
        <v>52</v>
      </c>
      <c r="F17" s="18">
        <v>0</v>
      </c>
      <c r="G17" s="18">
        <v>0</v>
      </c>
      <c r="H17" s="18">
        <v>0</v>
      </c>
      <c r="J17" s="204">
        <f>E17+4.5</f>
        <v>56.5</v>
      </c>
    </row>
    <row r="18" spans="1:10" x14ac:dyDescent="0.25">
      <c r="A18" s="24"/>
      <c r="B18" s="21" t="s">
        <v>26</v>
      </c>
      <c r="C18" s="12">
        <v>6</v>
      </c>
      <c r="D18" s="6">
        <v>22</v>
      </c>
      <c r="E18" s="16">
        <f>54.5+5.5</f>
        <v>60</v>
      </c>
      <c r="F18" s="18">
        <v>0</v>
      </c>
      <c r="G18" s="18">
        <v>0</v>
      </c>
      <c r="H18" s="18">
        <v>0</v>
      </c>
      <c r="J18" s="202">
        <f>E18+5.5</f>
        <v>65.5</v>
      </c>
    </row>
    <row r="19" spans="1:10" x14ac:dyDescent="0.25">
      <c r="A19" s="24"/>
      <c r="B19" s="22" t="s">
        <v>27</v>
      </c>
      <c r="C19" s="12">
        <v>6</v>
      </c>
      <c r="D19" s="6">
        <v>22</v>
      </c>
      <c r="E19" s="16">
        <f>54.5+5.5</f>
        <v>60</v>
      </c>
      <c r="F19" s="18">
        <v>0</v>
      </c>
      <c r="G19" s="18">
        <v>0</v>
      </c>
      <c r="H19" s="18">
        <v>0</v>
      </c>
      <c r="J19" s="202">
        <f>E19+5.5</f>
        <v>65.5</v>
      </c>
    </row>
    <row r="20" spans="1:10" x14ac:dyDescent="0.25">
      <c r="A20" s="24"/>
      <c r="B20" s="23" t="s">
        <v>28</v>
      </c>
      <c r="C20" s="12">
        <v>6</v>
      </c>
      <c r="D20" s="6">
        <v>22</v>
      </c>
      <c r="E20" s="16">
        <f>54.5+6</f>
        <v>60.5</v>
      </c>
      <c r="F20" s="18">
        <v>0</v>
      </c>
      <c r="G20" s="18">
        <v>0</v>
      </c>
      <c r="H20" s="18">
        <v>0</v>
      </c>
      <c r="J20" s="202">
        <f>E20+6</f>
        <v>66.5</v>
      </c>
    </row>
    <row r="21" spans="1:10" x14ac:dyDescent="0.25">
      <c r="A21" s="24"/>
      <c r="B21" s="23" t="s">
        <v>29</v>
      </c>
      <c r="C21" s="12">
        <v>7</v>
      </c>
      <c r="D21" s="6">
        <v>26</v>
      </c>
      <c r="E21" s="16">
        <f>60.5+7</f>
        <v>67.5</v>
      </c>
      <c r="F21" s="18">
        <v>0</v>
      </c>
      <c r="G21" s="18">
        <v>0</v>
      </c>
      <c r="H21" s="18">
        <v>0</v>
      </c>
      <c r="J21" s="202">
        <f>E21+7</f>
        <v>74.5</v>
      </c>
    </row>
    <row r="22" spans="1:10" x14ac:dyDescent="0.25">
      <c r="A22" s="24"/>
      <c r="B22" s="21" t="s">
        <v>30</v>
      </c>
      <c r="C22" s="12">
        <v>7</v>
      </c>
      <c r="D22" s="6">
        <v>26</v>
      </c>
      <c r="E22" s="16">
        <f>60.5+7</f>
        <v>67.5</v>
      </c>
      <c r="F22" s="18">
        <v>0</v>
      </c>
      <c r="G22" s="18">
        <v>0</v>
      </c>
      <c r="H22" s="18">
        <v>0</v>
      </c>
      <c r="J22" s="202">
        <f>E22+7</f>
        <v>74.5</v>
      </c>
    </row>
    <row r="23" spans="1:10" x14ac:dyDescent="0.25">
      <c r="A23" s="24"/>
      <c r="B23" s="22" t="s">
        <v>31</v>
      </c>
      <c r="C23" s="12">
        <v>9</v>
      </c>
      <c r="D23" s="6">
        <v>34</v>
      </c>
      <c r="E23" s="16">
        <f>66.5+9</f>
        <v>75.5</v>
      </c>
      <c r="F23" s="18">
        <v>0</v>
      </c>
      <c r="G23" s="18">
        <v>0</v>
      </c>
      <c r="H23" s="18">
        <v>0</v>
      </c>
      <c r="J23" s="202">
        <f>E23+9</f>
        <v>84.5</v>
      </c>
    </row>
    <row r="24" spans="1:10" x14ac:dyDescent="0.25">
      <c r="A24" s="24"/>
      <c r="B24" s="23" t="s">
        <v>32</v>
      </c>
      <c r="C24" s="12">
        <v>8</v>
      </c>
      <c r="D24" s="6">
        <v>30</v>
      </c>
      <c r="E24" s="16">
        <f>63+8</f>
        <v>71</v>
      </c>
      <c r="F24" s="18">
        <v>0</v>
      </c>
      <c r="G24" s="18">
        <v>0</v>
      </c>
      <c r="H24" s="18">
        <v>0</v>
      </c>
      <c r="J24" s="202">
        <f>E24+8</f>
        <v>79</v>
      </c>
    </row>
    <row r="25" spans="1:10" x14ac:dyDescent="0.25">
      <c r="A25" s="24"/>
      <c r="B25" s="21" t="s">
        <v>33</v>
      </c>
      <c r="C25" s="12">
        <v>8</v>
      </c>
      <c r="D25" s="6">
        <v>30</v>
      </c>
      <c r="E25" s="16">
        <f>60.5+8</f>
        <v>68.5</v>
      </c>
      <c r="F25" s="18">
        <v>0</v>
      </c>
      <c r="G25" s="18">
        <v>0</v>
      </c>
      <c r="H25" s="18">
        <v>0</v>
      </c>
      <c r="J25" s="202">
        <f>E25+8</f>
        <v>76.5</v>
      </c>
    </row>
    <row r="26" spans="1:10" x14ac:dyDescent="0.25">
      <c r="A26" s="24"/>
      <c r="B26" s="22" t="s">
        <v>34</v>
      </c>
      <c r="C26" s="13">
        <v>6</v>
      </c>
      <c r="D26" s="14">
        <v>22</v>
      </c>
      <c r="E26" s="16">
        <f>51.5+5.5</f>
        <v>57</v>
      </c>
      <c r="F26" s="18">
        <v>0</v>
      </c>
      <c r="G26" s="18">
        <v>0</v>
      </c>
      <c r="H26" s="18">
        <v>0</v>
      </c>
      <c r="J26" s="202">
        <f t="shared" ref="J19:J27" si="0">E26+5.5</f>
        <v>62.5</v>
      </c>
    </row>
    <row r="27" spans="1:10" x14ac:dyDescent="0.25">
      <c r="A27" s="24"/>
      <c r="B27" s="21" t="s">
        <v>35</v>
      </c>
      <c r="C27" s="25">
        <v>7</v>
      </c>
      <c r="D27" s="6">
        <v>26</v>
      </c>
      <c r="E27" s="17">
        <f>58.5+7</f>
        <v>65.5</v>
      </c>
      <c r="F27" s="18">
        <v>0</v>
      </c>
      <c r="G27" s="18">
        <v>0</v>
      </c>
      <c r="H27" s="18">
        <v>0</v>
      </c>
      <c r="J27" s="203">
        <f>E27+7</f>
        <v>72.5</v>
      </c>
    </row>
    <row r="28" spans="1:10" x14ac:dyDescent="0.25">
      <c r="B28" s="20"/>
      <c r="G28" s="8"/>
    </row>
  </sheetData>
  <mergeCells count="2">
    <mergeCell ref="B2:H2"/>
    <mergeCell ref="J4:J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DD131-7E8F-41EE-8E85-9B165C9BC7F6}">
  <dimension ref="A1:G15"/>
  <sheetViews>
    <sheetView workbookViewId="0">
      <selection activeCell="F14" sqref="F14"/>
    </sheetView>
  </sheetViews>
  <sheetFormatPr baseColWidth="10" defaultRowHeight="15" x14ac:dyDescent="0.25"/>
  <cols>
    <col min="3" max="3" width="23.5703125" bestFit="1" customWidth="1"/>
  </cols>
  <sheetData>
    <row r="1" spans="1:7" ht="15.75" thickBot="1" x14ac:dyDescent="0.3">
      <c r="B1" s="42"/>
      <c r="C1" s="42"/>
      <c r="D1" s="42"/>
      <c r="E1" s="42"/>
      <c r="F1" s="42"/>
      <c r="G1" s="42"/>
    </row>
    <row r="2" spans="1:7" ht="16.5" thickTop="1" thickBot="1" x14ac:dyDescent="0.3">
      <c r="A2" s="10"/>
      <c r="B2" s="122" t="s">
        <v>54</v>
      </c>
      <c r="C2" s="123"/>
      <c r="D2" s="123"/>
      <c r="E2" s="123"/>
      <c r="F2" s="123"/>
      <c r="G2" s="124"/>
    </row>
    <row r="3" spans="1:7" ht="15.75" thickBot="1" x14ac:dyDescent="0.3">
      <c r="A3" s="10"/>
      <c r="B3" s="125" t="s">
        <v>8</v>
      </c>
      <c r="C3" s="126" t="s">
        <v>7</v>
      </c>
      <c r="D3" s="128" t="s">
        <v>58</v>
      </c>
      <c r="E3" s="129"/>
      <c r="F3" s="130"/>
      <c r="G3" s="39" t="s">
        <v>44</v>
      </c>
    </row>
    <row r="4" spans="1:7" ht="18" thickBot="1" x14ac:dyDescent="0.3">
      <c r="A4" s="10"/>
      <c r="B4" s="125"/>
      <c r="C4" s="127"/>
      <c r="D4" s="38" t="s">
        <v>55</v>
      </c>
      <c r="E4" s="36" t="s">
        <v>57</v>
      </c>
      <c r="F4" s="37" t="s">
        <v>56</v>
      </c>
      <c r="G4" s="40" t="s">
        <v>60</v>
      </c>
    </row>
    <row r="5" spans="1:7" ht="15.75" thickTop="1" x14ac:dyDescent="0.25">
      <c r="A5" s="10"/>
      <c r="B5" s="43" t="s">
        <v>75</v>
      </c>
      <c r="C5" s="41" t="s">
        <v>77</v>
      </c>
      <c r="D5" s="9">
        <v>6.5</v>
      </c>
      <c r="E5" s="9">
        <v>2.52</v>
      </c>
      <c r="F5" s="96">
        <v>2.4</v>
      </c>
      <c r="G5" s="44">
        <f>D5*E5*F5</f>
        <v>39.311999999999998</v>
      </c>
    </row>
    <row r="6" spans="1:7" x14ac:dyDescent="0.25">
      <c r="A6" s="10"/>
      <c r="B6" s="46" t="s">
        <v>76</v>
      </c>
      <c r="C6" s="21" t="s">
        <v>78</v>
      </c>
      <c r="D6" s="6">
        <v>6.5</v>
      </c>
      <c r="E6" s="6">
        <v>2.52</v>
      </c>
      <c r="F6" s="78">
        <v>2.4</v>
      </c>
      <c r="G6" s="45">
        <f t="shared" ref="G6:G11" si="0">D6*E6*F6</f>
        <v>39.311999999999998</v>
      </c>
    </row>
    <row r="7" spans="1:7" x14ac:dyDescent="0.25">
      <c r="A7" s="10"/>
      <c r="B7" s="47" t="s">
        <v>61</v>
      </c>
      <c r="C7" s="41" t="s">
        <v>48</v>
      </c>
      <c r="D7" s="78">
        <v>12.2</v>
      </c>
      <c r="E7" s="6">
        <v>2.52</v>
      </c>
      <c r="F7" s="78">
        <v>2.8</v>
      </c>
      <c r="G7" s="45">
        <f t="shared" ref="G7" si="1">D7*E7*F7</f>
        <v>86.083199999999991</v>
      </c>
    </row>
    <row r="8" spans="1:7" x14ac:dyDescent="0.25">
      <c r="A8" s="10"/>
      <c r="B8" s="46" t="s">
        <v>62</v>
      </c>
      <c r="C8" s="21" t="s">
        <v>49</v>
      </c>
      <c r="D8" s="78">
        <v>12.8</v>
      </c>
      <c r="E8" s="6">
        <v>2.52</v>
      </c>
      <c r="F8" s="78">
        <v>2.8</v>
      </c>
      <c r="G8" s="45">
        <f t="shared" si="0"/>
        <v>90.316800000000001</v>
      </c>
    </row>
    <row r="9" spans="1:7" x14ac:dyDescent="0.25">
      <c r="A9" s="10"/>
      <c r="B9" s="46" t="s">
        <v>63</v>
      </c>
      <c r="C9" s="21" t="s">
        <v>50</v>
      </c>
      <c r="D9" s="78">
        <v>14.63</v>
      </c>
      <c r="E9" s="6">
        <v>2.52</v>
      </c>
      <c r="F9" s="78">
        <v>2.8</v>
      </c>
      <c r="G9" s="45">
        <f t="shared" si="0"/>
        <v>103.22928</v>
      </c>
    </row>
    <row r="10" spans="1:7" x14ac:dyDescent="0.25">
      <c r="A10" s="10"/>
      <c r="B10" s="47" t="s">
        <v>64</v>
      </c>
      <c r="C10" s="21" t="s">
        <v>51</v>
      </c>
      <c r="D10" s="78">
        <v>16.149999999999999</v>
      </c>
      <c r="E10" s="6">
        <v>2.52</v>
      </c>
      <c r="F10" s="78">
        <v>2.8</v>
      </c>
      <c r="G10" s="45">
        <f t="shared" si="0"/>
        <v>113.95439999999998</v>
      </c>
    </row>
    <row r="11" spans="1:7" x14ac:dyDescent="0.25">
      <c r="A11" s="10"/>
      <c r="B11" s="10" t="s">
        <v>87</v>
      </c>
      <c r="C11" s="21" t="s">
        <v>88</v>
      </c>
      <c r="D11" s="78">
        <v>2.82</v>
      </c>
      <c r="E11" s="6">
        <v>2.35</v>
      </c>
      <c r="F11" s="78">
        <v>2.39</v>
      </c>
      <c r="G11" s="45">
        <f t="shared" si="0"/>
        <v>15.83853</v>
      </c>
    </row>
    <row r="12" spans="1:7" x14ac:dyDescent="0.25">
      <c r="A12" s="10"/>
      <c r="B12" s="10" t="s">
        <v>65</v>
      </c>
      <c r="C12" s="21" t="s">
        <v>53</v>
      </c>
      <c r="D12" s="78">
        <v>5.9</v>
      </c>
      <c r="E12" s="6">
        <v>2.35</v>
      </c>
      <c r="F12" s="78">
        <v>2.39</v>
      </c>
      <c r="G12" s="45">
        <f t="shared" ref="G12:G13" si="2">D12*E12*F12</f>
        <v>33.137350000000005</v>
      </c>
    </row>
    <row r="13" spans="1:7" x14ac:dyDescent="0.25">
      <c r="A13" s="10"/>
      <c r="B13" s="47" t="s">
        <v>66</v>
      </c>
      <c r="C13" s="21" t="s">
        <v>52</v>
      </c>
      <c r="D13" s="78">
        <v>12.03</v>
      </c>
      <c r="E13" s="6">
        <v>2.35</v>
      </c>
      <c r="F13" s="78">
        <v>2.39</v>
      </c>
      <c r="G13" s="45">
        <f t="shared" si="2"/>
        <v>67.566495000000003</v>
      </c>
    </row>
    <row r="15" spans="1:7" x14ac:dyDescent="0.25">
      <c r="B15" s="131" t="s">
        <v>67</v>
      </c>
      <c r="C15" s="131"/>
      <c r="D15" s="131"/>
      <c r="E15" s="131"/>
      <c r="F15" s="131"/>
      <c r="G15" s="131"/>
    </row>
  </sheetData>
  <mergeCells count="5">
    <mergeCell ref="B2:G2"/>
    <mergeCell ref="B3:B4"/>
    <mergeCell ref="C3:C4"/>
    <mergeCell ref="D3:F3"/>
    <mergeCell ref="B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K30"/>
  <sheetViews>
    <sheetView showGridLines="0" zoomScaleNormal="100" workbookViewId="0">
      <selection activeCell="D4" sqref="D4"/>
    </sheetView>
  </sheetViews>
  <sheetFormatPr baseColWidth="10" defaultRowHeight="15" x14ac:dyDescent="0.25"/>
  <cols>
    <col min="1" max="1" width="1.85546875" customWidth="1"/>
    <col min="2" max="2" width="14.42578125" customWidth="1"/>
    <col min="3" max="3" width="19.140625" customWidth="1"/>
    <col min="4" max="4" width="17.140625" customWidth="1"/>
    <col min="5" max="5" width="24.28515625" bestFit="1" customWidth="1"/>
    <col min="6" max="6" width="23.140625" customWidth="1"/>
    <col min="7" max="7" width="16.28515625" customWidth="1"/>
    <col min="8" max="8" width="21.42578125" bestFit="1" customWidth="1"/>
  </cols>
  <sheetData>
    <row r="1" spans="1:11" ht="15.75" thickBot="1" x14ac:dyDescent="0.3"/>
    <row r="2" spans="1:11" ht="15.75" thickBot="1" x14ac:dyDescent="0.3">
      <c r="A2" s="2"/>
      <c r="B2" s="144" t="s">
        <v>37</v>
      </c>
      <c r="C2" s="144"/>
      <c r="D2" s="19" t="s">
        <v>7</v>
      </c>
      <c r="E2" s="71"/>
      <c r="F2" s="28"/>
      <c r="G2" s="28"/>
      <c r="H2" s="28"/>
    </row>
    <row r="3" spans="1:11" ht="15.75" thickBot="1" x14ac:dyDescent="0.3">
      <c r="A3" s="2"/>
      <c r="B3" s="144"/>
      <c r="C3" s="144"/>
      <c r="D3" s="75" t="s">
        <v>17</v>
      </c>
      <c r="E3" s="71"/>
      <c r="F3" s="72"/>
      <c r="G3" s="73"/>
      <c r="H3" s="74"/>
    </row>
    <row r="4" spans="1:11" ht="15.75" thickBot="1" x14ac:dyDescent="0.3">
      <c r="A4" s="2"/>
      <c r="B4" s="2"/>
      <c r="C4" s="2"/>
      <c r="D4" s="2"/>
      <c r="E4" s="2"/>
      <c r="F4" s="70"/>
      <c r="G4" s="70"/>
      <c r="H4" s="2"/>
    </row>
    <row r="5" spans="1:11" ht="18.75" customHeight="1" thickBot="1" x14ac:dyDescent="0.3">
      <c r="A5" s="26"/>
      <c r="B5" s="147" t="s">
        <v>36</v>
      </c>
      <c r="C5" s="148"/>
      <c r="D5" s="145" t="s">
        <v>1</v>
      </c>
      <c r="E5" s="140" t="s">
        <v>6</v>
      </c>
      <c r="F5" s="141"/>
      <c r="G5" s="142" t="s">
        <v>73</v>
      </c>
      <c r="H5" s="134" t="s">
        <v>74</v>
      </c>
      <c r="I5" s="135"/>
      <c r="J5" s="135"/>
      <c r="K5" s="135"/>
    </row>
    <row r="6" spans="1:11" ht="15.75" thickBot="1" x14ac:dyDescent="0.3">
      <c r="A6" s="26"/>
      <c r="B6" s="149"/>
      <c r="C6" s="150"/>
      <c r="D6" s="146"/>
      <c r="E6" s="33" t="s">
        <v>2</v>
      </c>
      <c r="F6" s="34" t="s">
        <v>43</v>
      </c>
      <c r="G6" s="143"/>
      <c r="H6" s="134"/>
      <c r="I6" s="135"/>
      <c r="J6" s="135"/>
      <c r="K6" s="135"/>
    </row>
    <row r="7" spans="1:11" ht="18.75" customHeight="1" x14ac:dyDescent="0.25">
      <c r="A7" s="2"/>
      <c r="B7" s="136" t="s">
        <v>4</v>
      </c>
      <c r="C7" s="137"/>
      <c r="D7" s="32" t="s">
        <v>3</v>
      </c>
      <c r="E7" s="31">
        <f>IF($D$3='PBV VEHÍCULOS'!$E$3,'PBV VEHÍCULOS'!$E4,IF($D$3='PBV VEHÍCULOS'!$F$3,'PBV VEHÍCULOS'!$F4,IF($D$3='PBV VEHÍCULOS'!$G$3,'PBV VEHÍCULOS'!$G4,IF($D$3='PBV VEHÍCULOS'!$H$3,'PBV VEHÍCULOS'!$H$4))))</f>
        <v>19</v>
      </c>
      <c r="F7" s="31">
        <v>7</v>
      </c>
      <c r="G7" s="30">
        <f>E7-F7</f>
        <v>12</v>
      </c>
      <c r="H7" s="3"/>
      <c r="I7" s="1"/>
      <c r="J7" s="1"/>
    </row>
    <row r="8" spans="1:11" ht="18.75" customHeight="1" x14ac:dyDescent="0.25">
      <c r="A8" s="2"/>
      <c r="B8" s="132" t="s">
        <v>4</v>
      </c>
      <c r="C8" s="133"/>
      <c r="D8" s="5" t="s">
        <v>41</v>
      </c>
      <c r="E8" s="31">
        <f>IF($D$3='PBV VEHÍCULOS'!$E$3,'PBV VEHÍCULOS'!$E5,IF($D$3='PBV VEHÍCULOS'!$F$3,'PBV VEHÍCULOS'!$F5,IF($D$3='PBV VEHÍCULOS'!$G$3,'PBV VEHÍCULOS'!$G5,IF($D$3='PBV VEHÍCULOS'!$H$3,'PBV VEHÍCULOS'!$H$4))))</f>
        <v>24</v>
      </c>
      <c r="F8" s="4">
        <v>8</v>
      </c>
      <c r="G8" s="27">
        <f t="shared" ref="G8:G30" si="0">E8-F8</f>
        <v>16</v>
      </c>
      <c r="H8" s="3"/>
      <c r="I8" s="1"/>
      <c r="J8" s="1"/>
    </row>
    <row r="9" spans="1:11" ht="18.75" customHeight="1" x14ac:dyDescent="0.25">
      <c r="A9" s="2"/>
      <c r="B9" s="138" t="s">
        <v>4</v>
      </c>
      <c r="C9" s="139"/>
      <c r="D9" s="5" t="s">
        <v>40</v>
      </c>
      <c r="E9" s="31">
        <f>IF($D$3='PBV VEHÍCULOS'!$E$3,'PBV VEHÍCULOS'!$E6,IF($D$3='PBV VEHÍCULOS'!$F$3,'PBV VEHÍCULOS'!$F6,IF($D$3='PBV VEHÍCULOS'!$G$3,'PBV VEHÍCULOS'!$G6,IF($D$3='PBV VEHÍCULOS'!$H$3,'PBV VEHÍCULOS'!$H$4))))</f>
        <v>27</v>
      </c>
      <c r="F9" s="4">
        <v>8</v>
      </c>
      <c r="G9" s="27">
        <f t="shared" si="0"/>
        <v>19</v>
      </c>
      <c r="H9" s="3"/>
      <c r="I9" s="1"/>
      <c r="J9" s="1"/>
    </row>
    <row r="10" spans="1:11" ht="18.75" customHeight="1" x14ac:dyDescent="0.25">
      <c r="A10" s="2"/>
      <c r="B10" s="132" t="s">
        <v>38</v>
      </c>
      <c r="C10" s="133"/>
      <c r="D10" s="5" t="s">
        <v>21</v>
      </c>
      <c r="E10" s="31">
        <f>IF($D$3='PBV VEHÍCULOS'!$E$3,'PBV VEHÍCULOS'!$E7,IF($D$3='PBV VEHÍCULOS'!$F$3,'PBV VEHÍCULOS'!$F7,IF($D$3='PBV VEHÍCULOS'!$G$3,'PBV VEHÍCULOS'!$G7,IF($D$3='PBV VEHÍCULOS'!$H$3,'PBV VEHÍCULOS'!$H$4))))</f>
        <v>37.5</v>
      </c>
      <c r="F10" s="4">
        <v>10</v>
      </c>
      <c r="G10" s="27">
        <f t="shared" si="0"/>
        <v>27.5</v>
      </c>
      <c r="H10" s="3"/>
      <c r="I10" s="1"/>
      <c r="J10" s="1"/>
    </row>
    <row r="11" spans="1:11" ht="18.75" customHeight="1" x14ac:dyDescent="0.25">
      <c r="A11" s="2"/>
      <c r="B11" s="132" t="s">
        <v>38</v>
      </c>
      <c r="C11" s="133"/>
      <c r="D11" s="5" t="s">
        <v>21</v>
      </c>
      <c r="E11" s="31">
        <f>IF($D$3='PBV VEHÍCULOS'!$E$3,'PBV VEHÍCULOS'!$E8,IF($D$3='PBV VEHÍCULOS'!$F$3,'PBV VEHÍCULOS'!$F8,IF($D$3='PBV VEHÍCULOS'!$G$3,'PBV VEHÍCULOS'!$G8,IF($D$3='PBV VEHÍCULOS'!$H$3,'PBV VEHÍCULOS'!$H$4))))</f>
        <v>44.5</v>
      </c>
      <c r="F11" s="4">
        <v>10</v>
      </c>
      <c r="G11" s="27">
        <f t="shared" si="0"/>
        <v>34.5</v>
      </c>
      <c r="H11" s="3"/>
      <c r="I11" s="1"/>
      <c r="J11" s="1"/>
    </row>
    <row r="12" spans="1:11" ht="18.75" customHeight="1" x14ac:dyDescent="0.25">
      <c r="A12" s="2"/>
      <c r="B12" s="132" t="s">
        <v>38</v>
      </c>
      <c r="C12" s="133"/>
      <c r="D12" s="5" t="s">
        <v>22</v>
      </c>
      <c r="E12" s="31">
        <f>IF($D$3='PBV VEHÍCULOS'!$E$3,'PBV VEHÍCULOS'!$E9,IF($D$3='PBV VEHÍCULOS'!$F$3,'PBV VEHÍCULOS'!$F9,IF($D$3='PBV VEHÍCULOS'!$G$3,'PBV VEHÍCULOS'!$G9,IF($D$3='PBV VEHÍCULOS'!$H$3,'PBV VEHÍCULOS'!$H$4))))</f>
        <v>51.1</v>
      </c>
      <c r="F12" s="4">
        <v>11</v>
      </c>
      <c r="G12" s="27">
        <f t="shared" si="0"/>
        <v>40.1</v>
      </c>
      <c r="H12" s="3"/>
      <c r="I12" s="1"/>
      <c r="J12" s="1"/>
    </row>
    <row r="13" spans="1:11" ht="18.75" customHeight="1" x14ac:dyDescent="0.25">
      <c r="A13" s="2"/>
      <c r="B13" s="132" t="s">
        <v>38</v>
      </c>
      <c r="C13" s="133"/>
      <c r="D13" s="5" t="s">
        <v>23</v>
      </c>
      <c r="E13" s="31">
        <f>IF($D$3='PBV VEHÍCULOS'!$E$3,'PBV VEHÍCULOS'!$E10,IF($D$3='PBV VEHÍCULOS'!$F$3,'PBV VEHÍCULOS'!$F10,IF($D$3='PBV VEHÍCULOS'!$G$3,'PBV VEHÍCULOS'!$G10,IF($D$3='PBV VEHÍCULOS'!$H$3,'PBV VEHÍCULOS'!$H$4))))</f>
        <v>44.5</v>
      </c>
      <c r="F13" s="4">
        <v>11</v>
      </c>
      <c r="G13" s="27">
        <f t="shared" si="0"/>
        <v>33.5</v>
      </c>
      <c r="H13" s="3"/>
      <c r="I13" s="1"/>
      <c r="J13" s="1"/>
    </row>
    <row r="14" spans="1:11" ht="18.75" customHeight="1" x14ac:dyDescent="0.25">
      <c r="A14" s="2"/>
      <c r="B14" s="132" t="s">
        <v>0</v>
      </c>
      <c r="C14" s="133"/>
      <c r="D14" s="5" t="s">
        <v>5</v>
      </c>
      <c r="E14" s="31">
        <f>IF($D$3='PBV VEHÍCULOS'!$E$3,'PBV VEHÍCULOS'!$E11,IF($D$3='PBV VEHÍCULOS'!$F$3,'PBV VEHÍCULOS'!$F11,IF($D$3='PBV VEHÍCULOS'!$G$3,'PBV VEHÍCULOS'!$G11,IF($D$3='PBV VEHÍCULOS'!$H$3,'PBV VEHÍCULOS'!$H$4))))</f>
        <v>30</v>
      </c>
      <c r="F14" s="4">
        <v>11</v>
      </c>
      <c r="G14" s="27">
        <f t="shared" si="0"/>
        <v>19</v>
      </c>
      <c r="H14" s="3"/>
      <c r="I14" s="1"/>
      <c r="J14" s="1"/>
    </row>
    <row r="15" spans="1:11" ht="18.75" customHeight="1" x14ac:dyDescent="0.25">
      <c r="A15" s="2"/>
      <c r="B15" s="132" t="s">
        <v>0</v>
      </c>
      <c r="C15" s="133"/>
      <c r="D15" s="5" t="s">
        <v>9</v>
      </c>
      <c r="E15" s="31">
        <f>IF($D$3='PBV VEHÍCULOS'!$E$3,'PBV VEHÍCULOS'!$E12,IF($D$3='PBV VEHÍCULOS'!$F$3,'PBV VEHÍCULOS'!$F12,IF($D$3='PBV VEHÍCULOS'!$G$3,'PBV VEHÍCULOS'!$G12,IF($D$3='PBV VEHÍCULOS'!$H$3,'PBV VEHÍCULOS'!$H$4))))</f>
        <v>38</v>
      </c>
      <c r="F15" s="4">
        <v>13</v>
      </c>
      <c r="G15" s="27">
        <f t="shared" si="0"/>
        <v>25</v>
      </c>
      <c r="H15" s="3"/>
      <c r="I15" s="1"/>
      <c r="J15" s="1"/>
    </row>
    <row r="16" spans="1:11" ht="18.75" customHeight="1" x14ac:dyDescent="0.25">
      <c r="A16" s="2"/>
      <c r="B16" s="132" t="s">
        <v>0</v>
      </c>
      <c r="C16" s="133"/>
      <c r="D16" s="5" t="s">
        <v>10</v>
      </c>
      <c r="E16" s="31">
        <f>IF($D$3='PBV VEHÍCULOS'!$E$3,'PBV VEHÍCULOS'!$E13,IF($D$3='PBV VEHÍCULOS'!$F$3,'PBV VEHÍCULOS'!$F13,IF($D$3='PBV VEHÍCULOS'!$G$3,'PBV VEHÍCULOS'!$G13,IF($D$3='PBV VEHÍCULOS'!$H$3,'PBV VEHÍCULOS'!$H$4))))</f>
        <v>46.5</v>
      </c>
      <c r="F16" s="4">
        <v>15</v>
      </c>
      <c r="G16" s="27">
        <f t="shared" si="0"/>
        <v>31.5</v>
      </c>
      <c r="H16" s="3"/>
      <c r="I16" s="1"/>
      <c r="J16" s="1"/>
    </row>
    <row r="17" spans="1:10" ht="18.75" customHeight="1" x14ac:dyDescent="0.25">
      <c r="A17" s="2"/>
      <c r="B17" s="132" t="s">
        <v>0</v>
      </c>
      <c r="C17" s="133"/>
      <c r="D17" s="5" t="s">
        <v>11</v>
      </c>
      <c r="E17" s="31">
        <f>IF($D$3='PBV VEHÍCULOS'!$E$3,'PBV VEHÍCULOS'!$E14,IF($D$3='PBV VEHÍCULOS'!$F$3,'PBV VEHÍCULOS'!$F14,IF($D$3='PBV VEHÍCULOS'!$G$3,'PBV VEHÍCULOS'!$G14,IF($D$3='PBV VEHÍCULOS'!$H$3,'PBV VEHÍCULOS'!$H$4))))</f>
        <v>54</v>
      </c>
      <c r="F17" s="4">
        <v>17</v>
      </c>
      <c r="G17" s="27">
        <f t="shared" si="0"/>
        <v>37</v>
      </c>
      <c r="H17" s="3"/>
      <c r="I17" s="1"/>
      <c r="J17" s="1"/>
    </row>
    <row r="18" spans="1:10" ht="18.75" customHeight="1" x14ac:dyDescent="0.25">
      <c r="A18" s="2"/>
      <c r="B18" s="132" t="s">
        <v>0</v>
      </c>
      <c r="C18" s="133"/>
      <c r="D18" s="5" t="s">
        <v>12</v>
      </c>
      <c r="E18" s="31">
        <f>IF($D$3='PBV VEHÍCULOS'!$E$3,'PBV VEHÍCULOS'!$E15,IF($D$3='PBV VEHÍCULOS'!$F$3,'PBV VEHÍCULOS'!$F15,IF($D$3='PBV VEHÍCULOS'!$G$3,'PBV VEHÍCULOS'!$G15,IF($D$3='PBV VEHÍCULOS'!$H$3,'PBV VEHÍCULOS'!$H$4))))</f>
        <v>45.5</v>
      </c>
      <c r="F18" s="4">
        <v>15</v>
      </c>
      <c r="G18" s="27">
        <f t="shared" si="0"/>
        <v>30.5</v>
      </c>
      <c r="H18" s="3"/>
      <c r="I18" s="1"/>
      <c r="J18" s="1"/>
    </row>
    <row r="19" spans="1:10" ht="18.75" customHeight="1" x14ac:dyDescent="0.25">
      <c r="A19" s="2"/>
      <c r="B19" s="132" t="s">
        <v>0</v>
      </c>
      <c r="C19" s="133"/>
      <c r="D19" s="5" t="s">
        <v>13</v>
      </c>
      <c r="E19" s="31">
        <f>IF($D$3='PBV VEHÍCULOS'!$E$3,'PBV VEHÍCULOS'!$E16,IF($D$3='PBV VEHÍCULOS'!$F$3,'PBV VEHÍCULOS'!$F16,IF($D$3='PBV VEHÍCULOS'!$G$3,'PBV VEHÍCULOS'!$G16,IF($D$3='PBV VEHÍCULOS'!$H$3,'PBV VEHÍCULOS'!$H$4))))</f>
        <v>38.5</v>
      </c>
      <c r="F19" s="4">
        <v>13</v>
      </c>
      <c r="G19" s="27">
        <f t="shared" si="0"/>
        <v>25.5</v>
      </c>
      <c r="H19" s="2"/>
    </row>
    <row r="20" spans="1:10" ht="18.75" customHeight="1" x14ac:dyDescent="0.25">
      <c r="A20" s="2"/>
      <c r="B20" s="132" t="s">
        <v>39</v>
      </c>
      <c r="C20" s="133"/>
      <c r="D20" s="5" t="s">
        <v>25</v>
      </c>
      <c r="E20" s="31">
        <f>IF($D$3='PBV VEHÍCULOS'!$E$3,'PBV VEHÍCULOS'!$E17,IF($D$3='PBV VEHÍCULOS'!$F$3,'PBV VEHÍCULOS'!$F17,IF($D$3='PBV VEHÍCULOS'!$G$3,'PBV VEHÍCULOS'!$G17,IF($D$3='PBV VEHÍCULOS'!$H$3,'PBV VEHÍCULOS'!$H$4))))</f>
        <v>52</v>
      </c>
      <c r="F20" s="4">
        <v>17</v>
      </c>
      <c r="G20" s="27">
        <f t="shared" si="0"/>
        <v>35</v>
      </c>
      <c r="H20" s="2"/>
    </row>
    <row r="21" spans="1:10" ht="18.75" customHeight="1" x14ac:dyDescent="0.25">
      <c r="A21" s="2"/>
      <c r="B21" s="132" t="s">
        <v>39</v>
      </c>
      <c r="C21" s="133"/>
      <c r="D21" s="5" t="s">
        <v>26</v>
      </c>
      <c r="E21" s="31">
        <f>IF($D$3='PBV VEHÍCULOS'!$E$3,'PBV VEHÍCULOS'!$E18,IF($D$3='PBV VEHÍCULOS'!$F$3,'PBV VEHÍCULOS'!$F18,IF($D$3='PBV VEHÍCULOS'!$G$3,'PBV VEHÍCULOS'!$G18,IF($D$3='PBV VEHÍCULOS'!$H$3,'PBV VEHÍCULOS'!$H$4))))</f>
        <v>60</v>
      </c>
      <c r="F21" s="4">
        <v>19</v>
      </c>
      <c r="G21" s="27">
        <f t="shared" si="0"/>
        <v>41</v>
      </c>
      <c r="H21" s="2"/>
    </row>
    <row r="22" spans="1:10" ht="18.75" customHeight="1" x14ac:dyDescent="0.25">
      <c r="A22" s="2"/>
      <c r="B22" s="132" t="s">
        <v>39</v>
      </c>
      <c r="C22" s="133"/>
      <c r="D22" s="5" t="s">
        <v>27</v>
      </c>
      <c r="E22" s="31">
        <f>IF($D$3='PBV VEHÍCULOS'!$E$3,'PBV VEHÍCULOS'!$E19,IF($D$3='PBV VEHÍCULOS'!$F$3,'PBV VEHÍCULOS'!$F19,IF($D$3='PBV VEHÍCULOS'!$G$3,'PBV VEHÍCULOS'!$G19,IF($D$3='PBV VEHÍCULOS'!$H$3,'PBV VEHÍCULOS'!$H$4))))</f>
        <v>60</v>
      </c>
      <c r="F22" s="4">
        <v>19</v>
      </c>
      <c r="G22" s="27">
        <f t="shared" si="0"/>
        <v>41</v>
      </c>
      <c r="H22" s="2"/>
    </row>
    <row r="23" spans="1:10" ht="18.75" customHeight="1" x14ac:dyDescent="0.25">
      <c r="A23" s="2"/>
      <c r="B23" s="132" t="s">
        <v>39</v>
      </c>
      <c r="C23" s="133"/>
      <c r="D23" s="5" t="s">
        <v>28</v>
      </c>
      <c r="E23" s="31">
        <f>IF($D$3='PBV VEHÍCULOS'!$E$3,'PBV VEHÍCULOS'!$E20,IF($D$3='PBV VEHÍCULOS'!$F$3,'PBV VEHÍCULOS'!$F20,IF($D$3='PBV VEHÍCULOS'!$G$3,'PBV VEHÍCULOS'!$G20,IF($D$3='PBV VEHÍCULOS'!$H$3,'PBV VEHÍCULOS'!$H$4))))</f>
        <v>60.5</v>
      </c>
      <c r="F23" s="4">
        <v>19</v>
      </c>
      <c r="G23" s="27">
        <f t="shared" si="0"/>
        <v>41.5</v>
      </c>
      <c r="H23" s="2"/>
    </row>
    <row r="24" spans="1:10" ht="18.75" customHeight="1" x14ac:dyDescent="0.25">
      <c r="A24" s="2"/>
      <c r="B24" s="132" t="s">
        <v>39</v>
      </c>
      <c r="C24" s="133"/>
      <c r="D24" s="5" t="s">
        <v>29</v>
      </c>
      <c r="E24" s="31">
        <f>IF($D$3='PBV VEHÍCULOS'!$E$3,'PBV VEHÍCULOS'!$E21,IF($D$3='PBV VEHÍCULOS'!$F$3,'PBV VEHÍCULOS'!$F21,IF($D$3='PBV VEHÍCULOS'!$G$3,'PBV VEHÍCULOS'!$G21,IF($D$3='PBV VEHÍCULOS'!$H$3,'PBV VEHÍCULOS'!$H$4))))</f>
        <v>67.5</v>
      </c>
      <c r="F24" s="4">
        <v>21</v>
      </c>
      <c r="G24" s="27">
        <f t="shared" si="0"/>
        <v>46.5</v>
      </c>
      <c r="H24" s="2"/>
    </row>
    <row r="25" spans="1:10" ht="18.75" customHeight="1" x14ac:dyDescent="0.25">
      <c r="A25" s="2"/>
      <c r="B25" s="132" t="s">
        <v>39</v>
      </c>
      <c r="C25" s="133"/>
      <c r="D25" s="5" t="s">
        <v>30</v>
      </c>
      <c r="E25" s="31">
        <f>IF($D$3='PBV VEHÍCULOS'!$E$3,'PBV VEHÍCULOS'!$E22,IF($D$3='PBV VEHÍCULOS'!$F$3,'PBV VEHÍCULOS'!$F22,IF($D$3='PBV VEHÍCULOS'!$G$3,'PBV VEHÍCULOS'!$G22,IF($D$3='PBV VEHÍCULOS'!$H$3,'PBV VEHÍCULOS'!$H$4))))</f>
        <v>67.5</v>
      </c>
      <c r="F25" s="4">
        <v>21</v>
      </c>
      <c r="G25" s="27">
        <f t="shared" si="0"/>
        <v>46.5</v>
      </c>
      <c r="H25" s="2"/>
    </row>
    <row r="26" spans="1:10" ht="18.75" customHeight="1" x14ac:dyDescent="0.25">
      <c r="A26" s="2"/>
      <c r="B26" s="132" t="s">
        <v>39</v>
      </c>
      <c r="C26" s="133"/>
      <c r="D26" s="5" t="s">
        <v>31</v>
      </c>
      <c r="E26" s="31">
        <f>IF($D$3='PBV VEHÍCULOS'!$E$3,'PBV VEHÍCULOS'!$E23,IF($D$3='PBV VEHÍCULOS'!$F$3,'PBV VEHÍCULOS'!$F23,IF($D$3='PBV VEHÍCULOS'!$G$3,'PBV VEHÍCULOS'!$G23,IF($D$3='PBV VEHÍCULOS'!$H$3,'PBV VEHÍCULOS'!$H$4))))</f>
        <v>75.5</v>
      </c>
      <c r="F26" s="4">
        <v>25</v>
      </c>
      <c r="G26" s="27">
        <f t="shared" si="0"/>
        <v>50.5</v>
      </c>
      <c r="H26" s="2"/>
    </row>
    <row r="27" spans="1:10" ht="18.75" customHeight="1" x14ac:dyDescent="0.25">
      <c r="A27" s="2"/>
      <c r="B27" s="132" t="s">
        <v>39</v>
      </c>
      <c r="C27" s="133"/>
      <c r="D27" s="5" t="s">
        <v>32</v>
      </c>
      <c r="E27" s="31">
        <f>IF($D$3='PBV VEHÍCULOS'!$E$3,'PBV VEHÍCULOS'!$E24,IF($D$3='PBV VEHÍCULOS'!$F$3,'PBV VEHÍCULOS'!$F24,IF($D$3='PBV VEHÍCULOS'!$G$3,'PBV VEHÍCULOS'!$G24,IF($D$3='PBV VEHÍCULOS'!$H$3,'PBV VEHÍCULOS'!$H$4))))</f>
        <v>71</v>
      </c>
      <c r="F27" s="4">
        <v>23</v>
      </c>
      <c r="G27" s="27">
        <f t="shared" si="0"/>
        <v>48</v>
      </c>
      <c r="H27" s="2"/>
    </row>
    <row r="28" spans="1:10" ht="18.75" customHeight="1" x14ac:dyDescent="0.25">
      <c r="A28" s="2"/>
      <c r="B28" s="132" t="s">
        <v>39</v>
      </c>
      <c r="C28" s="133"/>
      <c r="D28" s="5" t="s">
        <v>33</v>
      </c>
      <c r="E28" s="31">
        <f>IF($D$3='PBV VEHÍCULOS'!$E$3,'PBV VEHÍCULOS'!$E25,IF($D$3='PBV VEHÍCULOS'!$F$3,'PBV VEHÍCULOS'!$F25,IF($D$3='PBV VEHÍCULOS'!$G$3,'PBV VEHÍCULOS'!$G25,IF($D$3='PBV VEHÍCULOS'!$H$3,'PBV VEHÍCULOS'!$H$4))))</f>
        <v>68.5</v>
      </c>
      <c r="F28" s="4">
        <v>23</v>
      </c>
      <c r="G28" s="27">
        <f t="shared" si="0"/>
        <v>45.5</v>
      </c>
      <c r="H28" s="2"/>
    </row>
    <row r="29" spans="1:10" ht="18.75" customHeight="1" x14ac:dyDescent="0.25">
      <c r="A29" s="2"/>
      <c r="B29" s="132" t="s">
        <v>39</v>
      </c>
      <c r="C29" s="133"/>
      <c r="D29" s="5" t="s">
        <v>34</v>
      </c>
      <c r="E29" s="31">
        <f>IF($D$3='PBV VEHÍCULOS'!$E$3,'PBV VEHÍCULOS'!$E26,IF($D$3='PBV VEHÍCULOS'!$F$3,'PBV VEHÍCULOS'!$F26,IF($D$3='PBV VEHÍCULOS'!$G$3,'PBV VEHÍCULOS'!$G26,IF($D$3='PBV VEHÍCULOS'!$H$3,'PBV VEHÍCULOS'!$H$4))))</f>
        <v>57</v>
      </c>
      <c r="F29" s="4">
        <v>19</v>
      </c>
      <c r="G29" s="27">
        <f t="shared" si="0"/>
        <v>38</v>
      </c>
      <c r="H29" s="2"/>
    </row>
    <row r="30" spans="1:10" ht="18.75" customHeight="1" x14ac:dyDescent="0.25">
      <c r="A30" s="2"/>
      <c r="B30" s="132" t="s">
        <v>39</v>
      </c>
      <c r="C30" s="133"/>
      <c r="D30" s="5" t="s">
        <v>35</v>
      </c>
      <c r="E30" s="31">
        <f>IF($D$3='PBV VEHÍCULOS'!$E$3,'PBV VEHÍCULOS'!$E27,IF($D$3='PBV VEHÍCULOS'!$F$3,'PBV VEHÍCULOS'!$F27,IF($D$3='PBV VEHÍCULOS'!$G$3,'PBV VEHÍCULOS'!$G27,IF($D$3='PBV VEHÍCULOS'!$H$3,'PBV VEHÍCULOS'!$H$4))))</f>
        <v>65.5</v>
      </c>
      <c r="F30" s="4">
        <v>21</v>
      </c>
      <c r="G30" s="27">
        <f t="shared" si="0"/>
        <v>44.5</v>
      </c>
      <c r="H30" s="2"/>
    </row>
  </sheetData>
  <mergeCells count="30">
    <mergeCell ref="E5:F5"/>
    <mergeCell ref="G5:G6"/>
    <mergeCell ref="B2:C3"/>
    <mergeCell ref="D5:D6"/>
    <mergeCell ref="B5:C6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B27:C27"/>
    <mergeCell ref="B28:C28"/>
    <mergeCell ref="B29:C29"/>
    <mergeCell ref="B30:C30"/>
    <mergeCell ref="H5:K6"/>
    <mergeCell ref="B22:C22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12:C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"/>
  <sheetViews>
    <sheetView showGridLines="0" zoomScaleNormal="100" workbookViewId="0">
      <selection activeCell="G8" sqref="G8"/>
    </sheetView>
  </sheetViews>
  <sheetFormatPr baseColWidth="10" defaultRowHeight="15" x14ac:dyDescent="0.25"/>
  <cols>
    <col min="6" max="6" width="11.7109375" bestFit="1" customWidth="1"/>
    <col min="7" max="7" width="11.7109375" customWidth="1"/>
    <col min="8" max="9" width="13.42578125" customWidth="1"/>
    <col min="10" max="10" width="12.5703125" customWidth="1"/>
    <col min="11" max="11" width="13" customWidth="1"/>
    <col min="12" max="12" width="13.7109375" customWidth="1"/>
    <col min="13" max="13" width="12.5703125" customWidth="1"/>
    <col min="14" max="14" width="16.28515625" customWidth="1"/>
  </cols>
  <sheetData>
    <row r="1" spans="1:17" x14ac:dyDescent="0.25">
      <c r="J1" s="2"/>
      <c r="K1" s="2"/>
      <c r="L1" s="2"/>
      <c r="M1" s="2"/>
      <c r="N1" s="2"/>
      <c r="O1" s="2"/>
    </row>
    <row r="2" spans="1:17" ht="15" customHeight="1" thickBot="1" x14ac:dyDescent="0.3">
      <c r="B2" s="35"/>
      <c r="C2" s="35"/>
      <c r="D2" s="35"/>
      <c r="E2" s="35"/>
      <c r="F2" s="35"/>
      <c r="G2" s="35"/>
      <c r="H2" s="35"/>
      <c r="I2" s="35"/>
      <c r="J2" s="151"/>
      <c r="K2" s="151"/>
      <c r="L2" s="151"/>
      <c r="M2" s="151"/>
      <c r="N2" s="151"/>
      <c r="O2" s="2"/>
    </row>
    <row r="3" spans="1:17" ht="18" customHeight="1" thickBot="1" x14ac:dyDescent="0.3">
      <c r="A3" s="1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94"/>
    </row>
    <row r="4" spans="1:17" ht="18" customHeight="1" thickBot="1" x14ac:dyDescent="0.3">
      <c r="A4" s="10"/>
      <c r="B4" s="159" t="s">
        <v>85</v>
      </c>
      <c r="C4" s="159"/>
      <c r="D4" s="159"/>
      <c r="E4" s="159"/>
      <c r="F4" s="159"/>
      <c r="G4" s="160" t="s">
        <v>68</v>
      </c>
      <c r="H4" s="159"/>
      <c r="I4" s="159"/>
      <c r="J4" s="159"/>
      <c r="K4" s="159"/>
      <c r="L4" s="159"/>
      <c r="M4" s="159"/>
      <c r="N4" s="159"/>
      <c r="O4" s="94"/>
    </row>
    <row r="5" spans="1:17" ht="18" customHeight="1" x14ac:dyDescent="0.25">
      <c r="A5" s="10"/>
      <c r="B5" s="157" t="s">
        <v>86</v>
      </c>
      <c r="C5" s="157"/>
      <c r="D5" s="158"/>
      <c r="E5" s="57" t="s">
        <v>69</v>
      </c>
      <c r="F5" s="56" t="s">
        <v>44</v>
      </c>
      <c r="G5" s="161" t="s">
        <v>71</v>
      </c>
      <c r="H5" s="163" t="s">
        <v>72</v>
      </c>
      <c r="I5" s="152" t="s">
        <v>82</v>
      </c>
      <c r="J5" s="154" t="s">
        <v>58</v>
      </c>
      <c r="K5" s="155"/>
      <c r="L5" s="156"/>
      <c r="M5" s="29" t="s">
        <v>69</v>
      </c>
      <c r="N5" s="29" t="s">
        <v>44</v>
      </c>
      <c r="O5" s="94"/>
    </row>
    <row r="6" spans="1:17" ht="18.75" customHeight="1" thickBot="1" x14ac:dyDescent="0.3">
      <c r="A6" s="10"/>
      <c r="B6" s="58" t="s">
        <v>47</v>
      </c>
      <c r="C6" s="59" t="s">
        <v>46</v>
      </c>
      <c r="D6" s="60" t="s">
        <v>45</v>
      </c>
      <c r="E6" s="60" t="s">
        <v>70</v>
      </c>
      <c r="F6" s="61" t="s">
        <v>59</v>
      </c>
      <c r="G6" s="162"/>
      <c r="H6" s="164"/>
      <c r="I6" s="153"/>
      <c r="J6" s="48" t="s">
        <v>47</v>
      </c>
      <c r="K6" s="49" t="s">
        <v>46</v>
      </c>
      <c r="L6" s="50" t="s">
        <v>45</v>
      </c>
      <c r="M6" s="51" t="s">
        <v>70</v>
      </c>
      <c r="N6" s="68" t="s">
        <v>59</v>
      </c>
      <c r="O6" s="2"/>
    </row>
    <row r="7" spans="1:17" ht="18.75" customHeight="1" thickBot="1" x14ac:dyDescent="0.3">
      <c r="A7" s="10"/>
      <c r="B7" s="62">
        <v>0.5</v>
      </c>
      <c r="C7" s="63">
        <v>0.3</v>
      </c>
      <c r="D7" s="63">
        <v>0.3</v>
      </c>
      <c r="E7" s="63">
        <v>30</v>
      </c>
      <c r="F7" s="64">
        <f>B7+C7*D7</f>
        <v>0.59</v>
      </c>
      <c r="G7" s="67">
        <v>7</v>
      </c>
      <c r="H7" s="62">
        <v>6</v>
      </c>
      <c r="I7" s="63">
        <f>G7*H7</f>
        <v>42</v>
      </c>
      <c r="J7" s="65">
        <v>1.2</v>
      </c>
      <c r="K7" s="65">
        <v>1</v>
      </c>
      <c r="L7" s="65">
        <f>(G7*D7)+0.15</f>
        <v>2.25</v>
      </c>
      <c r="M7" s="66">
        <f>I7*E7</f>
        <v>1260</v>
      </c>
      <c r="N7" s="69">
        <f>J7*K7*L7</f>
        <v>2.6999999999999997</v>
      </c>
      <c r="O7" s="3"/>
      <c r="P7" s="1"/>
      <c r="Q7" s="1"/>
    </row>
    <row r="8" spans="1:17" ht="18.75" customHeight="1" x14ac:dyDescent="0.25">
      <c r="J8" s="52"/>
      <c r="K8" s="52"/>
      <c r="L8" s="52"/>
      <c r="M8" s="53"/>
      <c r="N8" s="54"/>
      <c r="O8" s="3"/>
      <c r="P8" s="1"/>
      <c r="Q8" s="1"/>
    </row>
  </sheetData>
  <mergeCells count="9">
    <mergeCell ref="J2:N2"/>
    <mergeCell ref="I5:I6"/>
    <mergeCell ref="J5:L5"/>
    <mergeCell ref="B3:N3"/>
    <mergeCell ref="B5:D5"/>
    <mergeCell ref="B4:F4"/>
    <mergeCell ref="G4:N4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0C72-74D2-464F-9052-F11D66C6492B}">
  <dimension ref="A2:T11"/>
  <sheetViews>
    <sheetView showGridLines="0" tabSelected="1" topLeftCell="C1" zoomScaleNormal="100" workbookViewId="0">
      <selection activeCell="P9" sqref="P9"/>
    </sheetView>
  </sheetViews>
  <sheetFormatPr baseColWidth="10" defaultRowHeight="15" x14ac:dyDescent="0.25"/>
  <cols>
    <col min="2" max="2" width="24.28515625" bestFit="1" customWidth="1"/>
    <col min="3" max="3" width="11.140625" customWidth="1"/>
    <col min="4" max="4" width="11.28515625" customWidth="1"/>
    <col min="5" max="5" width="11.7109375" bestFit="1" customWidth="1"/>
    <col min="6" max="6" width="15.42578125" customWidth="1"/>
    <col min="7" max="7" width="14.85546875" customWidth="1"/>
    <col min="8" max="8" width="13.140625" customWidth="1"/>
    <col min="9" max="9" width="12" customWidth="1"/>
    <col min="10" max="10" width="7.140625" customWidth="1"/>
    <col min="11" max="11" width="6.28515625" customWidth="1"/>
    <col min="12" max="12" width="6.140625" customWidth="1"/>
    <col min="13" max="13" width="6.28515625" customWidth="1"/>
    <col min="14" max="14" width="5.7109375" customWidth="1"/>
    <col min="15" max="15" width="7" customWidth="1"/>
    <col min="16" max="16" width="8.42578125" bestFit="1" customWidth="1"/>
    <col min="17" max="17" width="10.5703125" customWidth="1"/>
    <col min="18" max="18" width="10.28515625" bestFit="1" customWidth="1"/>
    <col min="19" max="19" width="12.5703125" customWidth="1"/>
    <col min="20" max="20" width="15.7109375" customWidth="1"/>
  </cols>
  <sheetData>
    <row r="2" spans="1:20" ht="15.75" thickBot="1" x14ac:dyDescent="0.3">
      <c r="G2" s="35"/>
      <c r="H2" s="35"/>
      <c r="I2" s="35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x14ac:dyDescent="0.25">
      <c r="A3" s="10"/>
      <c r="B3" s="167" t="s">
        <v>42</v>
      </c>
      <c r="C3" s="169" t="s">
        <v>91</v>
      </c>
      <c r="D3" s="169" t="s">
        <v>95</v>
      </c>
      <c r="E3" s="171" t="s">
        <v>79</v>
      </c>
      <c r="F3" s="171" t="s">
        <v>80</v>
      </c>
      <c r="G3" s="173" t="s">
        <v>93</v>
      </c>
      <c r="H3" s="174"/>
      <c r="I3" s="175"/>
      <c r="J3" s="176" t="s">
        <v>94</v>
      </c>
      <c r="K3" s="177"/>
      <c r="L3" s="177"/>
      <c r="M3" s="177"/>
      <c r="N3" s="177"/>
      <c r="O3" s="177"/>
      <c r="P3" s="177"/>
      <c r="Q3" s="177"/>
      <c r="R3" s="178"/>
      <c r="S3" s="165" t="s">
        <v>89</v>
      </c>
      <c r="T3" s="166"/>
    </row>
    <row r="4" spans="1:20" ht="15.75" thickBot="1" x14ac:dyDescent="0.3">
      <c r="A4" s="10"/>
      <c r="B4" s="168"/>
      <c r="C4" s="170"/>
      <c r="D4" s="170"/>
      <c r="E4" s="172"/>
      <c r="F4" s="172"/>
      <c r="G4" s="79" t="s">
        <v>47</v>
      </c>
      <c r="H4" s="80" t="s">
        <v>46</v>
      </c>
      <c r="I4" s="81" t="s">
        <v>45</v>
      </c>
      <c r="J4" s="192" t="s">
        <v>47</v>
      </c>
      <c r="K4" s="193"/>
      <c r="L4" s="194" t="s">
        <v>46</v>
      </c>
      <c r="M4" s="193"/>
      <c r="N4" s="194" t="s">
        <v>45</v>
      </c>
      <c r="O4" s="193"/>
      <c r="P4" s="95" t="s">
        <v>81</v>
      </c>
      <c r="Q4" s="98" t="s">
        <v>83</v>
      </c>
      <c r="R4" s="116" t="s">
        <v>44</v>
      </c>
      <c r="S4" s="99" t="s">
        <v>83</v>
      </c>
      <c r="T4" s="100" t="s">
        <v>84</v>
      </c>
    </row>
    <row r="5" spans="1:20" ht="15.75" thickBot="1" x14ac:dyDescent="0.3">
      <c r="A5" s="10"/>
      <c r="B5" s="109" t="s">
        <v>41</v>
      </c>
      <c r="C5" s="110" t="str">
        <f>'CARGA UTIL VEHÍCULOS'!D3</f>
        <v>A</v>
      </c>
      <c r="D5" s="121">
        <f>IF($B$5='CARGA UTIL VEHÍCULOS'!$D$7,'CARGA UTIL VEHÍCULOS'!G8,IF($B$5='CARGA UTIL VEHÍCULOS'!$D$8,'CARGA UTIL VEHÍCULOS'!G9,IF($B$5='CARGA UTIL VEHÍCULOS'!$D$9,'CARGA UTIL VEHÍCULOS'!$G$9,IF($B$5='CARGA UTIL VEHÍCULOS'!$D$10,'CARGA UTIL VEHÍCULOS'!$G$10,IF($B$5='CARGA UTIL VEHÍCULOS'!$D$11,'CARGA UTIL VEHÍCULOS'!$G$11,IF($B$5='CARGA UTIL VEHÍCULOS'!$D$12,'CARGA UTIL VEHÍCULOS'!$G$12,IF($B$5='CARGA UTIL VEHÍCULOS'!$D$13,'CARGA UTIL VEHÍCULOS'!$G$13,IF($B$5='CARGA UTIL VEHÍCULOS'!$D$14,'CARGA UTIL VEHÍCULOS'!$G$14,IF($B$5='CARGA UTIL VEHÍCULOS'!$D$15,'CARGA UTIL VEHÍCULOS'!$G$15,IF($B$5='CARGA UTIL VEHÍCULOS'!$D$16,'CARGA UTIL VEHÍCULOS'!$G$16,IF($B$5='CARGA UTIL VEHÍCULOS'!$D$17,'CARGA UTIL VEHÍCULOS'!$G$17,IF($B$5='CARGA UTIL VEHÍCULOS'!$D$18,'CARGA UTIL VEHÍCULOS'!$G$18,IF($B$5='CARGA UTIL VEHÍCULOS'!$D$19,'CARGA UTIL VEHÍCULOS'!$G$19,IF($B$5='CARGA UTIL VEHÍCULOS'!$D$20,'CARGA UTIL VEHÍCULOS'!$G$20,IF($B$5='CARGA UTIL VEHÍCULOS'!$D$21,'CARGA UTIL VEHÍCULOS'!$G$21,IF($B$5='CARGA UTIL VEHÍCULOS'!$D$22,'CARGA UTIL VEHÍCULOS'!$G$22,IF($B$5='CARGA UTIL VEHÍCULOS'!$D$23,'CARGA UTIL VEHÍCULOS'!$G$23,IF($B$5='CARGA UTIL VEHÍCULOS'!$D$24,'CARGA UTIL VEHÍCULOS'!$G$24,IF($B$5='CARGA UTIL VEHÍCULOS'!$D$25,'CARGA UTIL VEHÍCULOS'!$G$25,IF($B$5='CARGA UTIL VEHÍCULOS'!$D$26,'CARGA UTIL VEHÍCULOS'!$G$26,IF($B$5='CARGA UTIL VEHÍCULOS'!$D$27,'CARGA UTIL VEHÍCULOS'!$G$27,IF($B$5='CARGA UTIL VEHÍCULOS'!$D$28,'CARGA UTIL VEHÍCULOS'!$G$28,IF($B$5='CARGA UTIL VEHÍCULOS'!$D$29,'CARGA UTIL VEHÍCULOS'!$G$29,IF($B$5='CARGA UTIL VEHÍCULOS'!$D$30,'CARGA UTIL VEHÍCULOS'!$G$30,))))))))))))))))))))))))</f>
        <v>19</v>
      </c>
      <c r="E5" s="83" t="s">
        <v>92</v>
      </c>
      <c r="F5" s="84">
        <f>IF($E$5=REMOLQUES!$B$5,REMOLQUES!G5,IF($E$5=REMOLQUES!$B$6,REMOLQUES!G6,IF($E$5=REMOLQUES!$B$7,REMOLQUES!$G$7,IF($E$5=REMOLQUES!$B$8,REMOLQUES!$G$8,IF($E$5=REMOLQUES!$B$9,REMOLQUES!$G$9,IF($E$5=REMOLQUES!$B$10,REMOLQUES!$G$10,IF($E$5=REMOLQUES!$B$11,REMOLQUES!$G$11,IF($E$5=REMOLQUES!$B$12,REMOLQUES!$G$12,IF($E$5=REMOLQUES!$B$13,REMOLQUES!$G$13,)))))))))</f>
        <v>39.311999999999998</v>
      </c>
      <c r="G5" s="86">
        <f>IF($E$5=REMOLQUES!$B$5,REMOLQUES!D5,IF($E$5=REMOLQUES!$B$6,REMOLQUES!D6,IF($E$5=REMOLQUES!$B$7,REMOLQUES!$D$7,IF($E$5=REMOLQUES!$B$8,REMOLQUES!$D$8,IF($E$5=REMOLQUES!$B$9,REMOLQUES!$G$9,IF($E$5=REMOLQUES!$B$10,REMOLQUES!$D$10,IF($E$5=REMOLQUES!$B$11,REMOLQUES!$D$11,IF($E$5=REMOLQUES!$B$12,REMOLQUES!$D$12,IF($E$5=REMOLQUES!$B$13,REMOLQUES!$D$13,)))))))))</f>
        <v>6.5</v>
      </c>
      <c r="H5" s="88">
        <f>IF($E$5=REMOLQUES!$B$5,REMOLQUES!E5,IF($E$5=REMOLQUES!$B$6,REMOLQUES!E6,IF($E$5=REMOLQUES!$B$7,REMOLQUES!$E$7,IF($E$5=REMOLQUES!$B$8,REMOLQUES!$E$8,IF($E$5=REMOLQUES!$B$9,REMOLQUES!$E$9,IF($E$5=REMOLQUES!$B$10,REMOLQUES!$E$10,IF($E$5=REMOLQUES!$B$11,REMOLQUES!$E$11,IF($E$5=REMOLQUES!$B$12,REMOLQUES!$E$12,IF($E$5=REMOLQUES!$B$13,REMOLQUES!$E$13,)))))))))</f>
        <v>2.52</v>
      </c>
      <c r="I5" s="85">
        <f>IF($E$5=REMOLQUES!$B$5,REMOLQUES!F5,IF($E$5=REMOLQUES!$B$6,REMOLQUES!F6,IF($E$5=REMOLQUES!$B$7,REMOLQUES!$F$7,IF($E$5=REMOLQUES!$B$8,REMOLQUES!$F$8,IF($E$5=REMOLQUES!$B$9,REMOLQUES!$F$9,IF($E$5=REMOLQUES!$B$10,REMOLQUES!$F$10,IF($E$5=REMOLQUES!$B$11,REMOLQUES!$F$11,IF($E$5=REMOLQUES!$B$12,REMOLQUES!$F$12,IF($E$5=REMOLQUES!$B$13,REMOLQUES!$F$13,)))))))))</f>
        <v>2.4</v>
      </c>
      <c r="J5" s="91">
        <f>$G5/'UNIDAD DE CARGA'!$J$7</f>
        <v>5.416666666666667</v>
      </c>
      <c r="K5" s="90">
        <v>5</v>
      </c>
      <c r="L5" s="92">
        <f>$H5/'UNIDAD DE CARGA'!$K$7</f>
        <v>2.52</v>
      </c>
      <c r="M5" s="93">
        <v>2</v>
      </c>
      <c r="N5" s="92">
        <f>$I5/'UNIDAD DE CARGA'!$L7</f>
        <v>1.0666666666666667</v>
      </c>
      <c r="O5" s="93">
        <v>1</v>
      </c>
      <c r="P5" s="93">
        <f>K5*M5*O5</f>
        <v>10</v>
      </c>
      <c r="Q5" s="190">
        <f>'UNIDAD DE CARGA'!M7/1000</f>
        <v>1.26</v>
      </c>
      <c r="R5" s="179">
        <f>'UNIDAD DE CARGA'!N7</f>
        <v>2.6999999999999997</v>
      </c>
      <c r="S5" s="120">
        <f>(P7*'UNIDAD DE CARGA'!M7)/1000</f>
        <v>12.6</v>
      </c>
      <c r="T5" s="119">
        <f>P7*'UNIDAD DE CARGA'!N7</f>
        <v>26.999999999999996</v>
      </c>
    </row>
    <row r="6" spans="1:20" ht="15.75" thickBot="1" x14ac:dyDescent="0.3">
      <c r="D6" s="55"/>
      <c r="E6" s="82"/>
      <c r="F6" s="77">
        <f>IF($E$6=REMOLQUES!$B$5,REMOLQUES!G5,IF($E$6=REMOLQUES!$B$6,REMOLQUES!G6,IF($E$6=REMOLQUES!$B$7,REMOLQUES!$G$7,IF($E$6=REMOLQUES!$B$8,REMOLQUES!$G$8,IF($E$6=REMOLQUES!$B$9,REMOLQUES!$G$9,IF($E$6=REMOLQUES!$B$10,REMOLQUES!$G$10,IF($E$6=REMOLQUES!$B$11,REMOLQUES!$G$11,IF($E$6=REMOLQUES!$B$12,REMOLQUES!$G$12,IF($E$6=REMOLQUES!$B$13,REMOLQUES!$G$13,)))))))))</f>
        <v>0</v>
      </c>
      <c r="G6" s="87">
        <f>IF($E$6=REMOLQUES!$B$5,REMOLQUES!D6,IF($E$6=REMOLQUES!$B$6,REMOLQUES!D7,IF($E$6=REMOLQUES!$B$7,REMOLQUES!$D$7,IF($E$6=REMOLQUES!$B$8,REMOLQUES!$D$8,IF($E$6=REMOLQUES!$B$9,REMOLQUES!$G$9,IF($E$6=REMOLQUES!$B$10,REMOLQUES!$D$10,IF($E$6=REMOLQUES!$B$11,REMOLQUES!$D$11,IF($E$6=REMOLQUES!$B$12,REMOLQUES!$D$12,IF($E$6=REMOLQUES!$B$13,REMOLQUES!$D$13,)))))))))</f>
        <v>0</v>
      </c>
      <c r="H6" s="89">
        <f>IF($E$6=REMOLQUES!$B$5,REMOLQUES!E5,IF($E$6=REMOLQUES!$B$6,REMOLQUES!E6,IF($E$6=REMOLQUES!$B$7,REMOLQUES!$E$7,IF($E$6=REMOLQUES!$B$8,REMOLQUES!$E$8,IF($E$6=REMOLQUES!$B$9,REMOLQUES!$E$9,IF($E$6=REMOLQUES!$B$10,REMOLQUES!$E$10,IF($E$6=REMOLQUES!$B$11,REMOLQUES!$E$11,IF($E$6=REMOLQUES!$B$12,REMOLQUES!$E$12,IF($E$6=REMOLQUES!$B$13,REMOLQUES!$E$13,)))))))))</f>
        <v>0</v>
      </c>
      <c r="I6" s="101">
        <f>IF($E$6=REMOLQUES!$B$5,REMOLQUES!$F$6,IF($E$6=REMOLQUES!$B$6,REMOLQUES!$F$7,IF($E$6=REMOLQUES!$B$7,REMOLQUES!$F$7,IF($E$6=REMOLQUES!$B$8,REMOLQUES!$F$8,IF($E$6=REMOLQUES!$B$9,REMOLQUES!$F$9,IF($E$6=REMOLQUES!$B$10,REMOLQUES!$F$10,IF($E$6=REMOLQUES!$B$11,REMOLQUES!$F$11,IF($E$6=REMOLQUES!$B$12,REMOLQUES!$F$12,IF($E$5=REMOLQUES!$B$13,REMOLQUES!$F$13,)))))))))</f>
        <v>0</v>
      </c>
      <c r="J6" s="102">
        <f>$H6/'UNIDAD DE CARGA'!$K$7</f>
        <v>0</v>
      </c>
      <c r="K6" s="103"/>
      <c r="L6" s="104">
        <f>$G6/'UNIDAD DE CARGA'!$J$7</f>
        <v>0</v>
      </c>
      <c r="M6" s="105"/>
      <c r="N6" s="104">
        <f>$I6/'UNIDAD DE CARGA'!$L$7</f>
        <v>0</v>
      </c>
      <c r="O6" s="106"/>
      <c r="P6" s="113">
        <f>K6*M6*O6</f>
        <v>0</v>
      </c>
      <c r="Q6" s="191"/>
      <c r="R6" s="180"/>
      <c r="S6" s="114">
        <f>Q5*P9</f>
        <v>0</v>
      </c>
      <c r="T6" s="115">
        <f>R5*P9</f>
        <v>0</v>
      </c>
    </row>
    <row r="7" spans="1:20" ht="15.75" thickBot="1" x14ac:dyDescent="0.3">
      <c r="F7" s="118">
        <f>F6+F5</f>
        <v>39.311999999999998</v>
      </c>
      <c r="G7" s="76"/>
      <c r="J7" s="181" t="s">
        <v>90</v>
      </c>
      <c r="K7" s="182"/>
      <c r="L7" s="182"/>
      <c r="M7" s="182"/>
      <c r="N7" s="182"/>
      <c r="O7" s="183"/>
      <c r="P7" s="107">
        <f>P5+P6</f>
        <v>10</v>
      </c>
      <c r="Q7" s="112"/>
      <c r="R7" s="117"/>
      <c r="S7" s="97"/>
      <c r="T7" s="111"/>
    </row>
    <row r="8" spans="1:20" x14ac:dyDescent="0.25">
      <c r="J8" s="184"/>
      <c r="K8" s="185"/>
      <c r="L8" s="185"/>
      <c r="M8" s="185"/>
      <c r="N8" s="185"/>
      <c r="O8" s="186"/>
      <c r="P8" s="46" t="b">
        <f>IF($S$5&gt;$D$5,($D$5/('UNIDAD DE CARGA'!$M$7/1000)))</f>
        <v>0</v>
      </c>
    </row>
    <row r="9" spans="1:20" x14ac:dyDescent="0.25">
      <c r="J9" s="184"/>
      <c r="K9" s="185"/>
      <c r="L9" s="185"/>
      <c r="M9" s="185"/>
      <c r="N9" s="185"/>
      <c r="O9" s="186"/>
      <c r="P9" s="46"/>
    </row>
    <row r="10" spans="1:20" x14ac:dyDescent="0.25">
      <c r="J10" s="184"/>
      <c r="K10" s="185"/>
      <c r="L10" s="185"/>
      <c r="M10" s="185"/>
      <c r="N10" s="185"/>
      <c r="O10" s="186"/>
      <c r="P10" s="46" t="b">
        <f>IF($T$5&gt;$F$7,($O$5/'UNIDAD DE CARGA'!$N$7))</f>
        <v>0</v>
      </c>
    </row>
    <row r="11" spans="1:20" ht="15.75" thickBot="1" x14ac:dyDescent="0.3">
      <c r="J11" s="187"/>
      <c r="K11" s="188"/>
      <c r="L11" s="188"/>
      <c r="M11" s="188"/>
      <c r="N11" s="188"/>
      <c r="O11" s="189"/>
      <c r="P11" s="108"/>
    </row>
  </sheetData>
  <mergeCells count="15">
    <mergeCell ref="R5:R6"/>
    <mergeCell ref="J7:O11"/>
    <mergeCell ref="Q5:Q6"/>
    <mergeCell ref="J4:K4"/>
    <mergeCell ref="L4:M4"/>
    <mergeCell ref="N4:O4"/>
    <mergeCell ref="J2:T2"/>
    <mergeCell ref="S3:T3"/>
    <mergeCell ref="B3:B4"/>
    <mergeCell ref="D3:D4"/>
    <mergeCell ref="E3:E4"/>
    <mergeCell ref="F3:F4"/>
    <mergeCell ref="G3:I3"/>
    <mergeCell ref="C3:C4"/>
    <mergeCell ref="J3:R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PBV VEHÍCULOS</vt:lpstr>
      <vt:lpstr>REMOLQUES</vt:lpstr>
      <vt:lpstr>CARGA UTIL VEHÍCULOS</vt:lpstr>
      <vt:lpstr>UNIDAD DE CARGA</vt:lpstr>
      <vt:lpstr>CUBICAJE POR VEHÍCULO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Yornandy Martínez Pérez</dc:creator>
  <cp:lastModifiedBy>Jesús Chavarria</cp:lastModifiedBy>
  <dcterms:created xsi:type="dcterms:W3CDTF">2016-10-25T17:41:55Z</dcterms:created>
  <dcterms:modified xsi:type="dcterms:W3CDTF">2024-02-23T19:29:30Z</dcterms:modified>
</cp:coreProperties>
</file>